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4.交接資料-碧雯(網頁)\12 維護本室網頁與ISO-9002作業規範網頁\掛網-自1041學期起\107\107.08\1070822 退休金試算專區\"/>
    </mc:Choice>
  </mc:AlternateContent>
  <workbookProtection workbookAlgorithmName="SHA-512" workbookHashValue="uvA70HCUbDNuvI0s4DScob/uxSd5zatJJQkAhRXXMVKQnmbKOKbcYufNIMCxS4Nb2djOlJLMgS8JVHzMKRQ7Xg==" workbookSaltValue="4JYivY/Fp/HbFWhUus9SwA==" workbookSpinCount="100000" lockStructure="1"/>
  <bookViews>
    <workbookView xWindow="0" yWindow="0" windowWidth="28800" windowHeight="12390"/>
  </bookViews>
  <sheets>
    <sheet name="Sheet1" sheetId="2" r:id="rId1"/>
    <sheet name="sheet2" sheetId="1" state="hidden" r:id="rId2"/>
  </sheets>
  <definedNames>
    <definedName name="DC">sheet2!$FA$517:$FH$597</definedName>
    <definedName name="grade">sheet2!$FY$502:$GA$581</definedName>
    <definedName name="labor">sheet2!$GJ$504:$GJ$525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new_service">sheet2!$FT$502:$FU$542</definedName>
    <definedName name="old_ins">sheet2!$FK$502:$FO$542</definedName>
    <definedName name="old_service">sheet2!$FQ$502:$FR$542</definedName>
    <definedName name="_xlnm.Print_Area" localSheetId="0">Sheet1!$A$1:$H$24</definedName>
    <definedName name="salary">sheet2!$FW$502:$FY$581</definedName>
  </definedNames>
  <calcPr calcId="162913"/>
</workbook>
</file>

<file path=xl/calcChain.xml><?xml version="1.0" encoding="utf-8"?>
<calcChain xmlns="http://schemas.openxmlformats.org/spreadsheetml/2006/main">
  <c r="FE511" i="1" l="1"/>
  <c r="GK504" i="1" l="1"/>
  <c r="GK505" i="1"/>
  <c r="GK506" i="1"/>
  <c r="GK507" i="1"/>
  <c r="GK508" i="1"/>
  <c r="GK509" i="1"/>
  <c r="GK510" i="1"/>
  <c r="GK511" i="1"/>
  <c r="GK512" i="1"/>
  <c r="GK513" i="1"/>
  <c r="GK514" i="1"/>
  <c r="GK515" i="1"/>
  <c r="GK516" i="1"/>
  <c r="GK517" i="1"/>
  <c r="GK518" i="1"/>
  <c r="GK519" i="1"/>
  <c r="GK520" i="1"/>
  <c r="GK521" i="1"/>
  <c r="GK522" i="1"/>
  <c r="GK523" i="1"/>
  <c r="GK524" i="1"/>
  <c r="GK525" i="1"/>
  <c r="FB502" i="1"/>
  <c r="FC502" i="1" s="1"/>
  <c r="FB509" i="1"/>
  <c r="FC506" i="1"/>
  <c r="C18" i="2" s="1"/>
  <c r="F4" i="2"/>
  <c r="F5" i="2"/>
  <c r="F6" i="2"/>
  <c r="G3" i="2"/>
  <c r="F3" i="2"/>
  <c r="B1" i="2"/>
  <c r="B18" i="2"/>
  <c r="B15" i="2"/>
  <c r="B13" i="2"/>
  <c r="C11" i="2"/>
  <c r="B11" i="2"/>
  <c r="B9" i="2"/>
  <c r="C7" i="2"/>
  <c r="B7" i="2"/>
  <c r="B5" i="2"/>
  <c r="B3" i="2"/>
  <c r="GC502" i="1"/>
  <c r="GC504" i="1"/>
  <c r="GC505" i="1"/>
  <c r="GC506" i="1"/>
  <c r="GC507" i="1"/>
  <c r="GC508" i="1"/>
  <c r="GC509" i="1"/>
  <c r="GC510" i="1"/>
  <c r="GC511" i="1"/>
  <c r="GC512" i="1"/>
  <c r="GC513" i="1"/>
  <c r="GC514" i="1"/>
  <c r="GC515" i="1"/>
  <c r="GC516" i="1"/>
  <c r="GC517" i="1"/>
  <c r="GC518" i="1"/>
  <c r="GC519" i="1"/>
  <c r="GC520" i="1"/>
  <c r="GC521" i="1"/>
  <c r="GC522" i="1"/>
  <c r="GC523" i="1"/>
  <c r="GC524" i="1"/>
  <c r="GC525" i="1"/>
  <c r="GC526" i="1"/>
  <c r="GC527" i="1"/>
  <c r="GC528" i="1"/>
  <c r="GC529" i="1"/>
  <c r="GC530" i="1"/>
  <c r="GC531" i="1"/>
  <c r="GC532" i="1"/>
  <c r="GC533" i="1"/>
  <c r="GC534" i="1"/>
  <c r="GC535" i="1"/>
  <c r="GC536" i="1"/>
  <c r="GC537" i="1"/>
  <c r="GC538" i="1"/>
  <c r="GC539" i="1"/>
  <c r="GC540" i="1"/>
  <c r="GC503" i="1"/>
  <c r="FE512" i="1"/>
  <c r="FU502" i="1"/>
  <c r="FL503" i="1"/>
  <c r="FO503" i="1"/>
  <c r="FU503" i="1"/>
  <c r="FL504" i="1"/>
  <c r="FO504" i="1"/>
  <c r="FU504" i="1"/>
  <c r="FL505" i="1"/>
  <c r="FO505" i="1"/>
  <c r="FU505" i="1"/>
  <c r="FL506" i="1"/>
  <c r="FO506" i="1"/>
  <c r="FU506" i="1"/>
  <c r="FL507" i="1"/>
  <c r="FO507" i="1"/>
  <c r="FU507" i="1"/>
  <c r="FL508" i="1"/>
  <c r="FO508" i="1"/>
  <c r="FU508" i="1"/>
  <c r="FL509" i="1"/>
  <c r="FO509" i="1"/>
  <c r="FU509" i="1"/>
  <c r="FL510" i="1"/>
  <c r="FO510" i="1"/>
  <c r="FU510" i="1"/>
  <c r="FL511" i="1"/>
  <c r="FO511" i="1"/>
  <c r="FU511" i="1"/>
  <c r="FL512" i="1"/>
  <c r="FO512" i="1"/>
  <c r="FU512" i="1"/>
  <c r="FL513" i="1"/>
  <c r="FO513" i="1"/>
  <c r="FU513" i="1"/>
  <c r="FL514" i="1"/>
  <c r="FO514" i="1"/>
  <c r="FU514" i="1"/>
  <c r="FL515" i="1"/>
  <c r="FO515" i="1"/>
  <c r="FU515" i="1"/>
  <c r="FL516" i="1"/>
  <c r="FO516" i="1"/>
  <c r="FU516" i="1"/>
  <c r="FL517" i="1"/>
  <c r="FO517" i="1"/>
  <c r="FU517" i="1"/>
  <c r="FL518" i="1"/>
  <c r="FO518" i="1"/>
  <c r="FU518" i="1"/>
  <c r="FL519" i="1"/>
  <c r="FO519" i="1"/>
  <c r="FU519" i="1"/>
  <c r="FL520" i="1"/>
  <c r="FO520" i="1"/>
  <c r="FU520" i="1"/>
  <c r="FL521" i="1"/>
  <c r="FO521" i="1"/>
  <c r="FU521" i="1"/>
  <c r="FL522" i="1"/>
  <c r="FO522" i="1"/>
  <c r="FU522" i="1"/>
  <c r="FL523" i="1"/>
  <c r="FO523" i="1"/>
  <c r="FU523" i="1"/>
  <c r="FL524" i="1"/>
  <c r="FO524" i="1"/>
  <c r="FU524" i="1"/>
  <c r="FL525" i="1"/>
  <c r="FO525" i="1"/>
  <c r="FU525" i="1"/>
  <c r="FL526" i="1"/>
  <c r="FO526" i="1"/>
  <c r="FU526" i="1"/>
  <c r="FL527" i="1"/>
  <c r="FO527" i="1"/>
  <c r="FU527" i="1"/>
  <c r="FL528" i="1"/>
  <c r="FO528" i="1"/>
  <c r="FU528" i="1"/>
  <c r="FL529" i="1"/>
  <c r="FO529" i="1"/>
  <c r="FU529" i="1"/>
  <c r="FL530" i="1"/>
  <c r="FO530" i="1"/>
  <c r="FU530" i="1"/>
  <c r="FL531" i="1"/>
  <c r="FO531" i="1"/>
  <c r="FU531" i="1"/>
  <c r="FL532" i="1"/>
  <c r="FO532" i="1"/>
  <c r="FU532" i="1"/>
  <c r="FL533" i="1"/>
  <c r="FO533" i="1"/>
  <c r="FU533" i="1"/>
  <c r="FL534" i="1"/>
  <c r="FO534" i="1"/>
  <c r="FU534" i="1"/>
  <c r="FL535" i="1"/>
  <c r="FO535" i="1"/>
  <c r="FU535" i="1"/>
  <c r="FL536" i="1"/>
  <c r="FO536" i="1"/>
  <c r="FU536" i="1"/>
  <c r="FL537" i="1"/>
  <c r="FO537" i="1"/>
  <c r="FU537" i="1"/>
  <c r="FL538" i="1"/>
  <c r="FO538" i="1"/>
  <c r="FU538" i="1"/>
  <c r="FL539" i="1"/>
  <c r="FO539" i="1"/>
  <c r="FU539" i="1"/>
  <c r="FL540" i="1"/>
  <c r="FO540" i="1"/>
  <c r="FU540" i="1"/>
  <c r="FL541" i="1"/>
  <c r="FO541" i="1"/>
  <c r="FU541" i="1"/>
  <c r="FL542" i="1"/>
  <c r="FO542" i="1"/>
  <c r="FU542" i="1"/>
  <c r="FE508" i="1" l="1"/>
  <c r="FB503" i="1"/>
  <c r="FC537" i="1" s="1"/>
  <c r="FD537" i="1" s="1"/>
  <c r="FE537" i="1" s="1"/>
  <c r="FF537" i="1" s="1"/>
  <c r="FE507" i="1"/>
  <c r="FF503" i="1" l="1"/>
  <c r="FE503" i="1"/>
  <c r="FE504" i="1" s="1"/>
  <c r="FG510" i="1" s="1"/>
  <c r="G5" i="2" s="1"/>
  <c r="FC535" i="1"/>
  <c r="FD535" i="1" s="1"/>
  <c r="FE535" i="1" s="1"/>
  <c r="FF535" i="1" s="1"/>
  <c r="FC518" i="1"/>
  <c r="FD518" i="1" s="1"/>
  <c r="FE518" i="1" s="1"/>
  <c r="FC534" i="1"/>
  <c r="FD534" i="1" s="1"/>
  <c r="FE534" i="1" s="1"/>
  <c r="FF534" i="1" s="1"/>
  <c r="FC522" i="1"/>
  <c r="FD522" i="1" s="1"/>
  <c r="FE522" i="1" s="1"/>
  <c r="FF522" i="1" s="1"/>
  <c r="FC532" i="1"/>
  <c r="FD532" i="1" s="1"/>
  <c r="FE532" i="1" s="1"/>
  <c r="FF532" i="1" s="1"/>
  <c r="FC520" i="1"/>
  <c r="FD520" i="1" s="1"/>
  <c r="FE520" i="1" s="1"/>
  <c r="FF520" i="1" s="1"/>
  <c r="FC531" i="1"/>
  <c r="FD531" i="1" s="1"/>
  <c r="FE531" i="1" s="1"/>
  <c r="FF531" i="1" s="1"/>
  <c r="FC525" i="1"/>
  <c r="FD525" i="1" s="1"/>
  <c r="FE525" i="1" s="1"/>
  <c r="FF525" i="1" s="1"/>
  <c r="FC528" i="1"/>
  <c r="FD528" i="1" s="1"/>
  <c r="FE528" i="1" s="1"/>
  <c r="FF528" i="1" s="1"/>
  <c r="FC536" i="1"/>
  <c r="FD536" i="1" s="1"/>
  <c r="FE536" i="1" s="1"/>
  <c r="FF536" i="1" s="1"/>
  <c r="FC529" i="1"/>
  <c r="FD529" i="1" s="1"/>
  <c r="FE529" i="1" s="1"/>
  <c r="FF529" i="1" s="1"/>
  <c r="FC527" i="1"/>
  <c r="FD527" i="1" s="1"/>
  <c r="FE527" i="1" s="1"/>
  <c r="FF527" i="1" s="1"/>
  <c r="FC530" i="1"/>
  <c r="FD530" i="1" s="1"/>
  <c r="FE530" i="1" s="1"/>
  <c r="FF530" i="1" s="1"/>
  <c r="FC503" i="1"/>
  <c r="FC539" i="1"/>
  <c r="FD539" i="1" s="1"/>
  <c r="FE539" i="1" s="1"/>
  <c r="FF539" i="1" s="1"/>
  <c r="FC526" i="1"/>
  <c r="FD526" i="1" s="1"/>
  <c r="FE526" i="1" s="1"/>
  <c r="FF526" i="1" s="1"/>
  <c r="FC538" i="1"/>
  <c r="FD538" i="1" s="1"/>
  <c r="FE538" i="1" s="1"/>
  <c r="FF538" i="1" s="1"/>
  <c r="FC524" i="1"/>
  <c r="FD524" i="1" s="1"/>
  <c r="FE524" i="1" s="1"/>
  <c r="FF524" i="1" s="1"/>
  <c r="FC519" i="1"/>
  <c r="FD519" i="1" s="1"/>
  <c r="FE519" i="1" s="1"/>
  <c r="FC523" i="1"/>
  <c r="FD523" i="1" s="1"/>
  <c r="FE523" i="1" s="1"/>
  <c r="FF523" i="1" s="1"/>
  <c r="FC521" i="1"/>
  <c r="FD521" i="1" s="1"/>
  <c r="FE521" i="1" s="1"/>
  <c r="FF521" i="1" s="1"/>
  <c r="FC533" i="1"/>
  <c r="FD533" i="1" s="1"/>
  <c r="FE533" i="1" s="1"/>
  <c r="FF533" i="1" s="1"/>
  <c r="FC540" i="1" l="1"/>
  <c r="C13" i="2"/>
  <c r="FH520" i="1"/>
  <c r="FH530" i="1"/>
  <c r="FH522" i="1"/>
  <c r="FH518" i="1"/>
  <c r="FF518" i="1"/>
  <c r="FG518" i="1" s="1"/>
  <c r="FH534" i="1"/>
  <c r="FH539" i="1"/>
  <c r="FH538" i="1"/>
  <c r="FH521" i="1"/>
  <c r="FH532" i="1"/>
  <c r="FH529" i="1"/>
  <c r="FH524" i="1"/>
  <c r="FH531" i="1"/>
  <c r="FH527" i="1"/>
  <c r="FH528" i="1"/>
  <c r="FH519" i="1"/>
  <c r="FH535" i="1"/>
  <c r="FH537" i="1"/>
  <c r="FH526" i="1"/>
  <c r="FH523" i="1"/>
  <c r="FF519" i="1"/>
  <c r="FH533" i="1"/>
  <c r="FH525" i="1"/>
  <c r="FH536" i="1"/>
  <c r="FD540" i="1" l="1"/>
  <c r="FE540" i="1" s="1"/>
  <c r="FC541" i="1"/>
  <c r="FG519" i="1"/>
  <c r="FG520" i="1" s="1"/>
  <c r="FG521" i="1" s="1"/>
  <c r="FG522" i="1" s="1"/>
  <c r="FG523" i="1" s="1"/>
  <c r="FG524" i="1" s="1"/>
  <c r="FG525" i="1" s="1"/>
  <c r="FG526" i="1" s="1"/>
  <c r="FG527" i="1" s="1"/>
  <c r="FG528" i="1" s="1"/>
  <c r="FG529" i="1" s="1"/>
  <c r="FG530" i="1" s="1"/>
  <c r="FG531" i="1" s="1"/>
  <c r="FG532" i="1" s="1"/>
  <c r="FG533" i="1" s="1"/>
  <c r="FG534" i="1" s="1"/>
  <c r="FG535" i="1" s="1"/>
  <c r="FG536" i="1" s="1"/>
  <c r="FG537" i="1" s="1"/>
  <c r="FG538" i="1" s="1"/>
  <c r="FG539" i="1" s="1"/>
  <c r="FD541" i="1" l="1"/>
  <c r="FE541" i="1" s="1"/>
  <c r="FF541" i="1" s="1"/>
  <c r="FC542" i="1"/>
  <c r="FF540" i="1"/>
  <c r="FG540" i="1" s="1"/>
  <c r="FH540" i="1"/>
  <c r="FG541" i="1" l="1"/>
  <c r="FH541" i="1"/>
  <c r="FD542" i="1"/>
  <c r="FE542" i="1" s="1"/>
  <c r="FC543" i="1"/>
  <c r="FF542" i="1" l="1"/>
  <c r="FG542" i="1" s="1"/>
  <c r="FH542" i="1"/>
  <c r="FD543" i="1"/>
  <c r="FE543" i="1" s="1"/>
  <c r="FC544" i="1"/>
  <c r="FD544" i="1" l="1"/>
  <c r="FE544" i="1" s="1"/>
  <c r="FH544" i="1" s="1"/>
  <c r="FC545" i="1"/>
  <c r="FF543" i="1"/>
  <c r="FG543" i="1" s="1"/>
  <c r="FH543" i="1"/>
  <c r="FD545" i="1" l="1"/>
  <c r="FE545" i="1" s="1"/>
  <c r="FC546" i="1"/>
  <c r="FF544" i="1"/>
  <c r="FG544" i="1" s="1"/>
  <c r="FF545" i="1" l="1"/>
  <c r="FG545" i="1" s="1"/>
  <c r="FH545" i="1"/>
  <c r="FD546" i="1"/>
  <c r="FE546" i="1" s="1"/>
  <c r="FC547" i="1"/>
  <c r="FD556" i="1"/>
  <c r="FE556" i="1" s="1"/>
  <c r="FF556" i="1" s="1"/>
  <c r="FC557" i="1"/>
  <c r="FF546" i="1" l="1"/>
  <c r="FG546" i="1" s="1"/>
  <c r="FH546" i="1"/>
  <c r="FD547" i="1"/>
  <c r="FE547" i="1" s="1"/>
  <c r="FC548" i="1"/>
  <c r="FC558" i="1"/>
  <c r="FD557" i="1"/>
  <c r="FE557" i="1" s="1"/>
  <c r="FD548" i="1" l="1"/>
  <c r="FE548" i="1" s="1"/>
  <c r="FC549" i="1"/>
  <c r="FF547" i="1"/>
  <c r="FG547" i="1" s="1"/>
  <c r="FH547" i="1"/>
  <c r="FF557" i="1"/>
  <c r="FD558" i="1"/>
  <c r="FE558" i="1" s="1"/>
  <c r="FC559" i="1"/>
  <c r="FD549" i="1" l="1"/>
  <c r="FE549" i="1" s="1"/>
  <c r="FC550" i="1"/>
  <c r="FF548" i="1"/>
  <c r="FG548" i="1" s="1"/>
  <c r="FH548" i="1"/>
  <c r="FF558" i="1"/>
  <c r="FD559" i="1"/>
  <c r="FE559" i="1" s="1"/>
  <c r="FC560" i="1"/>
  <c r="FD550" i="1" l="1"/>
  <c r="FE550" i="1" s="1"/>
  <c r="FC551" i="1"/>
  <c r="FF549" i="1"/>
  <c r="FG549" i="1" s="1"/>
  <c r="FH549" i="1"/>
  <c r="FF559" i="1"/>
  <c r="FD560" i="1"/>
  <c r="FE560" i="1" s="1"/>
  <c r="FC561" i="1"/>
  <c r="FD551" i="1" l="1"/>
  <c r="FE551" i="1" s="1"/>
  <c r="FC552" i="1"/>
  <c r="FF550" i="1"/>
  <c r="FG550" i="1" s="1"/>
  <c r="FH550" i="1"/>
  <c r="FC562" i="1"/>
  <c r="FD561" i="1"/>
  <c r="FE561" i="1" s="1"/>
  <c r="FF560" i="1"/>
  <c r="FF551" i="1" l="1"/>
  <c r="FG551" i="1" s="1"/>
  <c r="FH551" i="1"/>
  <c r="FC553" i="1"/>
  <c r="FD552" i="1"/>
  <c r="FE552" i="1" s="1"/>
  <c r="FF561" i="1"/>
  <c r="FC563" i="1"/>
  <c r="FD562" i="1"/>
  <c r="FE562" i="1" s="1"/>
  <c r="FF562" i="1" s="1"/>
  <c r="FC554" i="1" l="1"/>
  <c r="FD553" i="1"/>
  <c r="FE553" i="1" s="1"/>
  <c r="FF552" i="1"/>
  <c r="FG552" i="1" s="1"/>
  <c r="FH552" i="1"/>
  <c r="FC564" i="1"/>
  <c r="FD563" i="1"/>
  <c r="FE563" i="1" s="1"/>
  <c r="FF563" i="1" s="1"/>
  <c r="FF553" i="1" l="1"/>
  <c r="FG553" i="1" s="1"/>
  <c r="FH553" i="1"/>
  <c r="FD554" i="1"/>
  <c r="FE554" i="1" s="1"/>
  <c r="FC555" i="1"/>
  <c r="FD555" i="1" s="1"/>
  <c r="FE555" i="1" s="1"/>
  <c r="FC565" i="1"/>
  <c r="FD564" i="1"/>
  <c r="FE564" i="1" s="1"/>
  <c r="FF555" i="1" l="1"/>
  <c r="FH558" i="1"/>
  <c r="FH554" i="1"/>
  <c r="FF554" i="1"/>
  <c r="FG554" i="1" s="1"/>
  <c r="FH557" i="1"/>
  <c r="FH555" i="1"/>
  <c r="FH563" i="1"/>
  <c r="FH556" i="1"/>
  <c r="FH562" i="1"/>
  <c r="FH559" i="1"/>
  <c r="FH560" i="1"/>
  <c r="FH561" i="1"/>
  <c r="FF564" i="1"/>
  <c r="FH564" i="1"/>
  <c r="FD565" i="1"/>
  <c r="FE565" i="1" s="1"/>
  <c r="FC566" i="1"/>
  <c r="FG555" i="1" l="1"/>
  <c r="FG556" i="1" s="1"/>
  <c r="FG557" i="1" s="1"/>
  <c r="FG558" i="1" s="1"/>
  <c r="FG559" i="1" s="1"/>
  <c r="FG560" i="1" s="1"/>
  <c r="FG561" i="1" s="1"/>
  <c r="FG562" i="1" s="1"/>
  <c r="FG563" i="1" s="1"/>
  <c r="FG564" i="1" s="1"/>
  <c r="FD566" i="1"/>
  <c r="FE566" i="1" s="1"/>
  <c r="FF566" i="1" s="1"/>
  <c r="FC567" i="1"/>
  <c r="FF565" i="1"/>
  <c r="FH565" i="1"/>
  <c r="FG565" i="1" l="1"/>
  <c r="FG566" i="1" s="1"/>
  <c r="FH566" i="1"/>
  <c r="FD567" i="1"/>
  <c r="FE567" i="1" s="1"/>
  <c r="FC568" i="1"/>
  <c r="FF567" i="1" l="1"/>
  <c r="FG567" i="1" s="1"/>
  <c r="FH567" i="1"/>
  <c r="FD568" i="1"/>
  <c r="FE568" i="1" s="1"/>
  <c r="FF568" i="1" s="1"/>
  <c r="FC569" i="1"/>
  <c r="FG568" i="1" l="1"/>
  <c r="FC570" i="1"/>
  <c r="FD569" i="1"/>
  <c r="FE569" i="1" s="1"/>
  <c r="FH568" i="1"/>
  <c r="FD570" i="1" l="1"/>
  <c r="FE570" i="1" s="1"/>
  <c r="FH570" i="1" s="1"/>
  <c r="FC571" i="1"/>
  <c r="FF569" i="1"/>
  <c r="FG569" i="1" s="1"/>
  <c r="FH569" i="1"/>
  <c r="FC572" i="1" l="1"/>
  <c r="FD571" i="1"/>
  <c r="FE571" i="1" s="1"/>
  <c r="FH571" i="1" s="1"/>
  <c r="FF570" i="1"/>
  <c r="FG570" i="1" s="1"/>
  <c r="FF571" i="1" l="1"/>
  <c r="FG571" i="1" s="1"/>
  <c r="FC573" i="1"/>
  <c r="FD572" i="1"/>
  <c r="FE572" i="1" s="1"/>
  <c r="FH572" i="1" s="1"/>
  <c r="FC574" i="1" l="1"/>
  <c r="FD573" i="1"/>
  <c r="FE573" i="1" s="1"/>
  <c r="FH573" i="1" s="1"/>
  <c r="FF572" i="1"/>
  <c r="FG572" i="1" s="1"/>
  <c r="FD574" i="1" l="1"/>
  <c r="FE574" i="1" s="1"/>
  <c r="FH574" i="1" s="1"/>
  <c r="FC575" i="1"/>
  <c r="FF573" i="1"/>
  <c r="FG573" i="1" s="1"/>
  <c r="FC576" i="1" l="1"/>
  <c r="FD575" i="1"/>
  <c r="FE575" i="1" s="1"/>
  <c r="FH575" i="1" s="1"/>
  <c r="FF574" i="1"/>
  <c r="FG574" i="1" s="1"/>
  <c r="FF575" i="1" l="1"/>
  <c r="FG575" i="1" s="1"/>
  <c r="FC577" i="1"/>
  <c r="FD576" i="1"/>
  <c r="FE576" i="1" s="1"/>
  <c r="FC578" i="1" l="1"/>
  <c r="FD577" i="1"/>
  <c r="FE577" i="1" s="1"/>
  <c r="FF576" i="1"/>
  <c r="FG576" i="1" s="1"/>
  <c r="FH576" i="1"/>
  <c r="FF577" i="1" l="1"/>
  <c r="FG577" i="1" s="1"/>
  <c r="FD578" i="1"/>
  <c r="FE578" i="1" s="1"/>
  <c r="FF578" i="1" s="1"/>
  <c r="FC579" i="1"/>
  <c r="FH577" i="1"/>
  <c r="FG578" i="1" l="1"/>
  <c r="FH578" i="1"/>
  <c r="FC580" i="1"/>
  <c r="FD579" i="1"/>
  <c r="FE579" i="1" s="1"/>
  <c r="FH579" i="1" s="1"/>
  <c r="FF579" i="1" l="1"/>
  <c r="FG579" i="1" s="1"/>
  <c r="FC581" i="1"/>
  <c r="FD580" i="1"/>
  <c r="FE580" i="1" s="1"/>
  <c r="FH580" i="1" s="1"/>
  <c r="FF580" i="1" l="1"/>
  <c r="FG580" i="1" s="1"/>
  <c r="FC582" i="1"/>
  <c r="FD581" i="1"/>
  <c r="FE581" i="1" s="1"/>
  <c r="FF581" i="1" s="1"/>
  <c r="FD582" i="1" l="1"/>
  <c r="FE582" i="1" s="1"/>
  <c r="FH582" i="1" s="1"/>
  <c r="FC583" i="1"/>
  <c r="FH581" i="1"/>
  <c r="FG581" i="1"/>
  <c r="FC584" i="1" l="1"/>
  <c r="FD583" i="1"/>
  <c r="FE583" i="1" s="1"/>
  <c r="FH583" i="1" s="1"/>
  <c r="FF582" i="1"/>
  <c r="FG582" i="1" s="1"/>
  <c r="FG511" i="1" s="1"/>
  <c r="FG509" i="1" l="1"/>
  <c r="G6" i="2"/>
  <c r="FH510" i="1"/>
  <c r="FF583" i="1"/>
  <c r="FG583" i="1" s="1"/>
  <c r="FD584" i="1"/>
  <c r="FE584" i="1" s="1"/>
  <c r="FH584" i="1" s="1"/>
  <c r="FC585" i="1"/>
  <c r="EY506" i="1" l="1"/>
  <c r="EY505" i="1"/>
  <c r="EW505" i="1" s="1"/>
  <c r="F7" i="2" s="1"/>
  <c r="FH511" i="1"/>
  <c r="FH512" i="1"/>
  <c r="FE513" i="1"/>
  <c r="FG513" i="1" s="1"/>
  <c r="G4" i="2"/>
  <c r="FC586" i="1"/>
  <c r="FD585" i="1"/>
  <c r="FE585" i="1" s="1"/>
  <c r="FF584" i="1"/>
  <c r="FG584" i="1" s="1"/>
  <c r="FH513" i="1" l="1"/>
  <c r="FF585" i="1"/>
  <c r="FG585" i="1" s="1"/>
  <c r="FD586" i="1"/>
  <c r="FE586" i="1" s="1"/>
  <c r="FH586" i="1" s="1"/>
  <c r="FC587" i="1"/>
  <c r="FH585" i="1"/>
  <c r="FC588" i="1" l="1"/>
  <c r="FD587" i="1"/>
  <c r="FE587" i="1" s="1"/>
  <c r="FF586" i="1"/>
  <c r="FG586" i="1" s="1"/>
  <c r="FF587" i="1" l="1"/>
  <c r="FG587" i="1" s="1"/>
  <c r="FC589" i="1"/>
  <c r="FD588" i="1"/>
  <c r="FE588" i="1" s="1"/>
  <c r="FH588" i="1" s="1"/>
  <c r="FH587" i="1"/>
  <c r="FC590" i="1" l="1"/>
  <c r="FD589" i="1"/>
  <c r="FE589" i="1" s="1"/>
  <c r="FF588" i="1"/>
  <c r="FG588" i="1" s="1"/>
  <c r="FF589" i="1" l="1"/>
  <c r="FG589" i="1" s="1"/>
  <c r="FC591" i="1"/>
  <c r="FD590" i="1"/>
  <c r="FE590" i="1" s="1"/>
  <c r="FH590" i="1" s="1"/>
  <c r="FH589" i="1"/>
  <c r="FF590" i="1" l="1"/>
  <c r="FG590" i="1" s="1"/>
  <c r="FD591" i="1"/>
  <c r="FE591" i="1" s="1"/>
  <c r="FF591" i="1" s="1"/>
  <c r="FC592" i="1"/>
  <c r="FG591" i="1" l="1"/>
  <c r="FD592" i="1"/>
  <c r="FE592" i="1" s="1"/>
  <c r="FC593" i="1"/>
  <c r="FH591" i="1"/>
  <c r="FC594" i="1" l="1"/>
  <c r="FD593" i="1"/>
  <c r="FE593" i="1" s="1"/>
  <c r="FH593" i="1" s="1"/>
  <c r="FF592" i="1"/>
  <c r="FG592" i="1" s="1"/>
  <c r="FH592" i="1"/>
  <c r="FF593" i="1" l="1"/>
  <c r="FG593" i="1" s="1"/>
  <c r="FD594" i="1"/>
  <c r="FE594" i="1" s="1"/>
  <c r="FC595" i="1"/>
  <c r="FC596" i="1" l="1"/>
  <c r="FD595" i="1"/>
  <c r="FE595" i="1" s="1"/>
  <c r="FH595" i="1" s="1"/>
  <c r="FF594" i="1"/>
  <c r="FG594" i="1" s="1"/>
  <c r="FH594" i="1"/>
  <c r="FF595" i="1" l="1"/>
  <c r="FG595" i="1" s="1"/>
  <c r="FD596" i="1"/>
  <c r="FE596" i="1" s="1"/>
  <c r="FF596" i="1" s="1"/>
  <c r="FC597" i="1"/>
  <c r="FD597" i="1" s="1"/>
  <c r="FE597" i="1" s="1"/>
  <c r="FF597" i="1" s="1"/>
  <c r="FG596" i="1" l="1"/>
  <c r="FG597" i="1" s="1"/>
  <c r="FH597" i="1"/>
  <c r="FH596" i="1"/>
</calcChain>
</file>

<file path=xl/sharedStrings.xml><?xml version="1.0" encoding="utf-8"?>
<sst xmlns="http://schemas.openxmlformats.org/spreadsheetml/2006/main" count="164" uniqueCount="159">
  <si>
    <t>薪額</t>
    <phoneticPr fontId="2" type="noConversion"/>
  </si>
  <si>
    <t>本薪</t>
    <phoneticPr fontId="2" type="noConversion"/>
  </si>
  <si>
    <t>提撥率</t>
    <phoneticPr fontId="2" type="noConversion"/>
  </si>
  <si>
    <t>通膨調整後薪資</t>
    <phoneticPr fontId="2" type="noConversion"/>
  </si>
  <si>
    <t>年提撥數</t>
    <phoneticPr fontId="2" type="noConversion"/>
  </si>
  <si>
    <t>當年當筆收益</t>
    <phoneticPr fontId="2" type="noConversion"/>
  </si>
  <si>
    <t>個人負擔比例</t>
    <phoneticPr fontId="2" type="noConversion"/>
  </si>
  <si>
    <t>通膨的本俸增加率</t>
    <phoneticPr fontId="2" type="noConversion"/>
  </si>
  <si>
    <t>私校一次金</t>
    <phoneticPr fontId="2" type="noConversion"/>
  </si>
  <si>
    <t>個人提撥數</t>
    <phoneticPr fontId="2" type="noConversion"/>
  </si>
  <si>
    <t>88/5/31(含)以前公保年資(實際須減2個月)</t>
    <phoneticPr fontId="2" type="noConversion"/>
  </si>
  <si>
    <t>項目</t>
    <phoneticPr fontId="2" type="noConversion"/>
  </si>
  <si>
    <t>一次給付</t>
    <phoneticPr fontId="2" type="noConversion"/>
  </si>
  <si>
    <t>或，</t>
    <phoneticPr fontId="2" type="noConversion"/>
  </si>
  <si>
    <t>儲金專戶</t>
    <phoneticPr fontId="2" type="noConversion"/>
  </si>
  <si>
    <t>年度</t>
    <phoneticPr fontId="2" type="noConversion"/>
  </si>
  <si>
    <t>目前年度</t>
    <phoneticPr fontId="2" type="noConversion"/>
  </si>
  <si>
    <t>離退年度</t>
    <phoneticPr fontId="2" type="noConversion"/>
  </si>
  <si>
    <t>年金因子</t>
    <phoneticPr fontId="2" type="noConversion"/>
  </si>
  <si>
    <t>　　　若擇領終身給付，其年金保險投保費率俟儲金管理會公布。</t>
    <phoneticPr fontId="2" type="noConversion"/>
  </si>
  <si>
    <t>勞工保險投保薪資分級表</t>
  </si>
  <si>
    <t>中華民國九十六年十一月一日行政院勞工委員會勞保2字第0960140443號令修正發布，自九十七年一月一日施行</t>
  </si>
  <si>
    <t>投保薪</t>
  </si>
  <si>
    <t>月　薪　資　總　額</t>
  </si>
  <si>
    <t>日投保薪資</t>
  </si>
  <si>
    <t>月投保薪資</t>
  </si>
  <si>
    <t>資等級</t>
  </si>
  <si>
    <t>（實物給付應折現金計算）</t>
  </si>
  <si>
    <t>第 1級</t>
  </si>
  <si>
    <t>１７,２８０元以下</t>
  </si>
  <si>
    <t>１７,２８０元</t>
  </si>
  <si>
    <t>５７６元</t>
  </si>
  <si>
    <t>第 2級</t>
  </si>
  <si>
    <t>１７,２８１元至１７,４００元</t>
  </si>
  <si>
    <t>１７,４００元</t>
  </si>
  <si>
    <t>５８０元</t>
  </si>
  <si>
    <t>第 3級</t>
  </si>
  <si>
    <t>１７,４０１元至１８,３００元</t>
  </si>
  <si>
    <t>１８,３００元</t>
  </si>
  <si>
    <t>６１０元</t>
  </si>
  <si>
    <t>第 4級</t>
  </si>
  <si>
    <t>１８,３０１元至１９,２００元</t>
  </si>
  <si>
    <t>１９,２００元</t>
  </si>
  <si>
    <t>６４０元</t>
  </si>
  <si>
    <t>第 5級</t>
  </si>
  <si>
    <t>１９,２０１元至２０,１００元</t>
  </si>
  <si>
    <t>２０,１００元</t>
  </si>
  <si>
    <t>６７０元</t>
  </si>
  <si>
    <t>第 6級</t>
  </si>
  <si>
    <t>２０,１０１元至２１,０００元</t>
  </si>
  <si>
    <t>２１,０００元</t>
  </si>
  <si>
    <t>７００元</t>
  </si>
  <si>
    <t>第 7級</t>
  </si>
  <si>
    <t>２１,００１元至２１,９００元</t>
  </si>
  <si>
    <t>２１,９００元</t>
  </si>
  <si>
    <t>７３０元</t>
  </si>
  <si>
    <t>第 8級</t>
  </si>
  <si>
    <t>２１,９０１元至２２,８００元</t>
  </si>
  <si>
    <t>２２,８００元</t>
  </si>
  <si>
    <t>７６０元</t>
  </si>
  <si>
    <t>第 9級</t>
  </si>
  <si>
    <t>２２,８０１元至２４,０００元</t>
  </si>
  <si>
    <t>２４,０００元</t>
  </si>
  <si>
    <t>８００元</t>
  </si>
  <si>
    <t>第10級</t>
  </si>
  <si>
    <t>２４,００１元至２５,２００元</t>
  </si>
  <si>
    <t>２５,２００元</t>
  </si>
  <si>
    <t>８４０元</t>
  </si>
  <si>
    <t>第11級</t>
  </si>
  <si>
    <t>２５,２０１元至２６,４００元</t>
  </si>
  <si>
    <t>２６,４００元</t>
  </si>
  <si>
    <t>８８０元</t>
  </si>
  <si>
    <t>第12級</t>
  </si>
  <si>
    <t>２６,４０１元至２７,６００元</t>
  </si>
  <si>
    <t>２７,６００元</t>
  </si>
  <si>
    <t>９２０元</t>
  </si>
  <si>
    <t>第13級</t>
  </si>
  <si>
    <t>２７,６０１元至２８,８００元</t>
  </si>
  <si>
    <t>２８,８００元</t>
  </si>
  <si>
    <t>９６０元</t>
  </si>
  <si>
    <t>第14級</t>
  </si>
  <si>
    <t>２８,８０１元至３０,３００元</t>
  </si>
  <si>
    <t>３０,３００元</t>
  </si>
  <si>
    <t>１,０１０元</t>
  </si>
  <si>
    <t>第15級</t>
  </si>
  <si>
    <t>３０,３０１元至３１,８００元</t>
  </si>
  <si>
    <t>３１,８００元</t>
  </si>
  <si>
    <t>１,０６０元</t>
  </si>
  <si>
    <t>第16級</t>
  </si>
  <si>
    <t>３１,８０１元至３３,３００元</t>
  </si>
  <si>
    <t>３３,３００元</t>
  </si>
  <si>
    <t>１,１１０元</t>
  </si>
  <si>
    <t>第17級</t>
  </si>
  <si>
    <t>３３,３０１元至３４,８００元</t>
  </si>
  <si>
    <t>３４,８００元</t>
  </si>
  <si>
    <t>１,１６０元</t>
  </si>
  <si>
    <t>第18級</t>
  </si>
  <si>
    <t>３４,８０１元至３６,３００元</t>
  </si>
  <si>
    <t>３６,３００元</t>
  </si>
  <si>
    <t>１,２１０元</t>
  </si>
  <si>
    <t>第19級</t>
  </si>
  <si>
    <t>３６,３０１元至３８,２００元</t>
  </si>
  <si>
    <t>３８,２００元</t>
  </si>
  <si>
    <t>１,２７３元</t>
  </si>
  <si>
    <t>第20級</t>
  </si>
  <si>
    <t>３８,２０１元至４０,１００元</t>
  </si>
  <si>
    <t>４０,１００元</t>
  </si>
  <si>
    <t>１,３３７元</t>
  </si>
  <si>
    <t>第21級</t>
  </si>
  <si>
    <t>４０,１０１元至４２,０００元</t>
  </si>
  <si>
    <t>４２,０００元</t>
  </si>
  <si>
    <t>１,４００元</t>
  </si>
  <si>
    <t>第22級</t>
  </si>
  <si>
    <t>４２,００１元以上</t>
  </si>
  <si>
    <t>４３,９００元</t>
  </si>
  <si>
    <t>１,４６３元</t>
  </si>
  <si>
    <t>月投保薪資</t>
    <phoneticPr fontId="2" type="noConversion"/>
  </si>
  <si>
    <t>月繳金額</t>
    <phoneticPr fontId="2" type="noConversion"/>
  </si>
  <si>
    <t>人工輸入</t>
    <phoneticPr fontId="2" type="noConversion"/>
  </si>
  <si>
    <t>舊制年資(98.12.31以前年資)</t>
    <phoneticPr fontId="2" type="noConversion"/>
  </si>
  <si>
    <t>(年)</t>
    <phoneticPr fontId="2" type="noConversion"/>
  </si>
  <si>
    <t>(月)</t>
    <phoneticPr fontId="2" type="noConversion"/>
  </si>
  <si>
    <t>預計儲金年資(99.1.1以後年資)</t>
    <phoneticPr fontId="2" type="noConversion"/>
  </si>
  <si>
    <t>推算退休最後薪額</t>
    <phoneticPr fontId="2" type="noConversion"/>
  </si>
  <si>
    <t>(不低於原參加儲金薪額)</t>
    <phoneticPr fontId="2" type="noConversion"/>
  </si>
  <si>
    <t>法定提撥率</t>
    <phoneticPr fontId="2" type="noConversion"/>
  </si>
  <si>
    <t>本試算表僅供參考，實際金額以核定為準</t>
  </si>
  <si>
    <t>私立學校退撫儲金試算表</t>
    <phoneticPr fontId="2" type="noConversion"/>
  </si>
  <si>
    <t>輸入個人資料與假設</t>
    <phoneticPr fontId="2" type="noConversion"/>
  </si>
  <si>
    <t>退休金試算結果</t>
    <phoneticPr fontId="2" type="noConversion"/>
  </si>
  <si>
    <t>實際年資</t>
    <phoneticPr fontId="2" type="noConversion"/>
  </si>
  <si>
    <t>整年資給付月數</t>
    <phoneticPr fontId="2" type="noConversion"/>
  </si>
  <si>
    <t>畸零月數給付標準(分子)</t>
    <phoneticPr fontId="2" type="noConversion"/>
  </si>
  <si>
    <t>實際給付月數</t>
    <phoneticPr fontId="2" type="noConversion"/>
  </si>
  <si>
    <t>私校舊制年資</t>
    <phoneticPr fontId="2" type="noConversion"/>
  </si>
  <si>
    <t>基數</t>
    <phoneticPr fontId="2" type="noConversion"/>
  </si>
  <si>
    <t>公校新制年資</t>
    <phoneticPr fontId="2" type="noConversion"/>
  </si>
  <si>
    <t>年級</t>
    <phoneticPr fontId="2" type="noConversion"/>
  </si>
  <si>
    <t>參加儲金薪額</t>
    <phoneticPr fontId="2" type="noConversion"/>
  </si>
  <si>
    <t>本職最高薪額</t>
    <phoneticPr fontId="2" type="noConversion"/>
  </si>
  <si>
    <t>最後本薪</t>
    <phoneticPr fontId="2" type="noConversion"/>
  </si>
  <si>
    <t>預計年收益率(%)</t>
    <phoneticPr fontId="2" type="noConversion"/>
  </si>
  <si>
    <t>年金保險利率</t>
    <phoneticPr fontId="2" type="noConversion"/>
  </si>
  <si>
    <t>金額（新台幣：元）</t>
    <phoneticPr fontId="2" type="noConversion"/>
  </si>
  <si>
    <t>輸入本職最高薪級</t>
    <phoneticPr fontId="2" type="noConversion"/>
  </si>
  <si>
    <t>舊制部分</t>
    <phoneticPr fontId="2" type="noConversion"/>
  </si>
  <si>
    <t>自提</t>
    <phoneticPr fontId="2" type="noConversion"/>
  </si>
  <si>
    <t>儲金部分</t>
    <phoneticPr fontId="2" type="noConversion"/>
  </si>
  <si>
    <t>校提</t>
    <phoneticPr fontId="2" type="noConversion"/>
  </si>
  <si>
    <t>公提</t>
    <phoneticPr fontId="2" type="noConversion"/>
  </si>
  <si>
    <t>定期給付（月）</t>
    <phoneticPr fontId="2" type="noConversion"/>
  </si>
  <si>
    <t>孳息</t>
    <phoneticPr fontId="2" type="noConversion"/>
  </si>
  <si>
    <r>
      <t>定期給付</t>
    </r>
    <r>
      <rPr>
        <sz val="12"/>
        <rFont val="Times New Roman"/>
        <family val="1"/>
      </rPr>
      <t>(</t>
    </r>
    <r>
      <rPr>
        <sz val="12"/>
        <rFont val="新細明體"/>
        <family val="1"/>
        <charset val="136"/>
      </rPr>
      <t>年</t>
    </r>
    <r>
      <rPr>
        <sz val="12"/>
        <rFont val="Times New Roman"/>
        <family val="1"/>
      </rPr>
      <t>)</t>
    </r>
    <phoneticPr fontId="2" type="noConversion"/>
  </si>
  <si>
    <t xml:space="preserve"> 說明：定期給付以平均餘命20年，利率1.8%為例。</t>
    <phoneticPr fontId="2" type="noConversion"/>
  </si>
  <si>
    <t>說明：安全性層級須設為中級，請在EXCEL［工具］、［選項］下，［安全性］標籤內［巨集安全性］中選取。</t>
    <phoneticPr fontId="2" type="noConversion"/>
  </si>
  <si>
    <t>330元：30430</t>
  </si>
  <si>
    <t>770元：56930</t>
  </si>
  <si>
    <t>依公務人員俸額表(107.1.1生效)</t>
    <phoneticPr fontId="2" type="noConversion"/>
  </si>
  <si>
    <t>107.04.09製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</si>
</sst>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76" formatCode="0.0%"/>
    <numFmt numFmtId="177" formatCode="_-* #,##0_-;\-* #,##0_-;_-* &quot;-&quot;??_-;_-@_-"/>
    <numFmt numFmtId="178" formatCode="0.00_ "/>
    <numFmt numFmtId="179" formatCode="#,##0_);[Red]\(#,##0\)"/>
    <numFmt numFmtId="180" formatCode="0_ "/>
    <numFmt numFmtId="181" formatCode="0;_"/>
    <numFmt numFmtId="182" formatCode="#,##0.000000;[Red]\-#,##0.000000"/>
    <numFmt numFmtId="183" formatCode="#,##0_ "/>
  </numFmts>
  <fonts count="2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sz val="16"/>
      <name val="新細明體"/>
      <family val="1"/>
      <charset val="136"/>
    </font>
    <font>
      <sz val="12"/>
      <color indexed="18"/>
      <name val="新細明體"/>
      <family val="1"/>
      <charset val="136"/>
    </font>
    <font>
      <sz val="14"/>
      <name val="新細明體"/>
      <family val="1"/>
      <charset val="136"/>
    </font>
    <font>
      <b/>
      <sz val="18"/>
      <name val="新細明體"/>
      <family val="1"/>
      <charset val="136"/>
    </font>
    <font>
      <sz val="11"/>
      <name val="新細明體"/>
      <family val="1"/>
      <charset val="136"/>
    </font>
    <font>
      <b/>
      <sz val="16"/>
      <name val="新細明體"/>
      <family val="1"/>
      <charset val="136"/>
    </font>
    <font>
      <b/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b/>
      <sz val="10"/>
      <name val="新細明體"/>
      <family val="1"/>
      <charset val="136"/>
    </font>
    <font>
      <sz val="10"/>
      <name val="新細明體"/>
      <family val="1"/>
      <charset val="136"/>
    </font>
    <font>
      <sz val="12"/>
      <name val="新細明體"/>
      <family val="1"/>
      <charset val="136"/>
    </font>
    <font>
      <b/>
      <sz val="8"/>
      <name val="新細明體"/>
      <family val="1"/>
      <charset val="136"/>
    </font>
    <font>
      <sz val="12"/>
      <name val="新細明體"/>
      <family val="1"/>
      <charset val="136"/>
    </font>
    <font>
      <sz val="10"/>
      <name val="細明體"/>
      <family val="3"/>
      <charset val="136"/>
    </font>
    <font>
      <sz val="10"/>
      <name val="Arial"/>
      <family val="2"/>
    </font>
    <font>
      <sz val="14"/>
      <name val="Times New Roman"/>
      <family val="1"/>
    </font>
    <font>
      <sz val="16"/>
      <name val="Times New Roman"/>
      <family val="1"/>
    </font>
    <font>
      <sz val="11.5"/>
      <name val="新細明體"/>
      <family val="1"/>
      <charset val="136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7" fillId="0" borderId="2" xfId="0" applyFont="1" applyBorder="1"/>
    <xf numFmtId="0" fontId="0" fillId="0" borderId="3" xfId="0" applyBorder="1"/>
    <xf numFmtId="0" fontId="0" fillId="0" borderId="4" xfId="0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/>
    <xf numFmtId="9" fontId="4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9" fillId="2" borderId="8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8" fontId="4" fillId="0" borderId="0" xfId="0" applyNumberFormat="1" applyFont="1" applyBorder="1"/>
    <xf numFmtId="0" fontId="5" fillId="0" borderId="0" xfId="0" applyFont="1" applyBorder="1"/>
    <xf numFmtId="38" fontId="0" fillId="0" borderId="4" xfId="0" applyNumberFormat="1" applyBorder="1"/>
    <xf numFmtId="0" fontId="9" fillId="0" borderId="4" xfId="0" applyFont="1" applyBorder="1" applyAlignment="1">
      <alignment horizontal="center"/>
    </xf>
    <xf numFmtId="0" fontId="0" fillId="0" borderId="9" xfId="0" applyBorder="1"/>
    <xf numFmtId="38" fontId="4" fillId="3" borderId="8" xfId="0" applyNumberFormat="1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0" fontId="1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wrapText="1"/>
    </xf>
    <xf numFmtId="38" fontId="11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right"/>
    </xf>
    <xf numFmtId="9" fontId="14" fillId="0" borderId="0" xfId="0" applyNumberFormat="1" applyFont="1"/>
    <xf numFmtId="38" fontId="14" fillId="0" borderId="0" xfId="0" applyNumberFormat="1" applyFont="1"/>
    <xf numFmtId="0" fontId="14" fillId="0" borderId="0" xfId="0" applyFont="1" applyAlignment="1">
      <alignment wrapText="1"/>
    </xf>
    <xf numFmtId="178" fontId="14" fillId="0" borderId="0" xfId="0" applyNumberFormat="1" applyFont="1"/>
    <xf numFmtId="38" fontId="14" fillId="0" borderId="10" xfId="0" applyNumberFormat="1" applyFont="1" applyBorder="1" applyAlignment="1">
      <alignment vertical="center"/>
    </xf>
    <xf numFmtId="38" fontId="14" fillId="0" borderId="8" xfId="0" applyNumberFormat="1" applyFont="1" applyBorder="1" applyAlignment="1">
      <alignment vertical="center"/>
    </xf>
    <xf numFmtId="38" fontId="14" fillId="0" borderId="0" xfId="0" applyNumberFormat="1" applyFont="1" applyFill="1" applyBorder="1" applyAlignment="1">
      <alignment vertical="center"/>
    </xf>
    <xf numFmtId="0" fontId="13" fillId="0" borderId="11" xfId="0" applyFont="1" applyBorder="1" applyAlignment="1">
      <alignment horizontal="justify" vertical="top" wrapText="1"/>
    </xf>
    <xf numFmtId="0" fontId="13" fillId="0" borderId="4" xfId="0" applyFont="1" applyBorder="1" applyAlignment="1">
      <alignment horizontal="justify" vertical="top" wrapText="1"/>
    </xf>
    <xf numFmtId="38" fontId="14" fillId="0" borderId="0" xfId="0" applyNumberFormat="1" applyFont="1" applyBorder="1"/>
    <xf numFmtId="0" fontId="13" fillId="0" borderId="12" xfId="0" applyFont="1" applyBorder="1" applyAlignment="1">
      <alignment horizontal="justify" vertical="top" wrapText="1"/>
    </xf>
    <xf numFmtId="0" fontId="13" fillId="0" borderId="5" xfId="0" applyFont="1" applyBorder="1" applyAlignment="1">
      <alignment horizontal="justify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top" wrapText="1" indent="2"/>
    </xf>
    <xf numFmtId="0" fontId="13" fillId="0" borderId="3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top" wrapText="1"/>
    </xf>
    <xf numFmtId="3" fontId="13" fillId="0" borderId="14" xfId="0" applyNumberFormat="1" applyFont="1" applyBorder="1" applyAlignment="1">
      <alignment horizontal="center" vertical="top" wrapText="1"/>
    </xf>
    <xf numFmtId="180" fontId="14" fillId="0" borderId="0" xfId="0" applyNumberFormat="1" applyFont="1"/>
    <xf numFmtId="0" fontId="18" fillId="0" borderId="0" xfId="0" applyFont="1"/>
    <xf numFmtId="178" fontId="18" fillId="0" borderId="0" xfId="0" applyNumberFormat="1" applyFont="1"/>
    <xf numFmtId="38" fontId="18" fillId="0" borderId="0" xfId="0" applyNumberFormat="1" applyFont="1" applyFill="1" applyBorder="1" applyAlignment="1">
      <alignment vertical="center"/>
    </xf>
    <xf numFmtId="38" fontId="18" fillId="0" borderId="0" xfId="0" applyNumberFormat="1" applyFont="1"/>
    <xf numFmtId="3" fontId="13" fillId="0" borderId="13" xfId="0" applyNumberFormat="1" applyFont="1" applyBorder="1" applyAlignment="1">
      <alignment horizontal="center" vertical="top" wrapText="1"/>
    </xf>
    <xf numFmtId="38" fontId="14" fillId="0" borderId="0" xfId="0" applyNumberFormat="1" applyFont="1" applyBorder="1" applyAlignment="1">
      <alignment vertical="center"/>
    </xf>
    <xf numFmtId="176" fontId="14" fillId="0" borderId="0" xfId="0" applyNumberFormat="1" applyFont="1" applyBorder="1"/>
    <xf numFmtId="0" fontId="13" fillId="0" borderId="5" xfId="0" applyFont="1" applyBorder="1" applyAlignment="1">
      <alignment horizontal="center" vertical="top" wrapText="1"/>
    </xf>
    <xf numFmtId="9" fontId="14" fillId="0" borderId="0" xfId="0" applyNumberFormat="1" applyFont="1" applyBorder="1" applyAlignment="1">
      <alignment horizontal="right"/>
    </xf>
    <xf numFmtId="176" fontId="11" fillId="0" borderId="0" xfId="2" applyNumberFormat="1" applyFont="1"/>
    <xf numFmtId="178" fontId="11" fillId="0" borderId="0" xfId="0" applyNumberFormat="1" applyFont="1"/>
    <xf numFmtId="38" fontId="11" fillId="0" borderId="10" xfId="0" applyNumberFormat="1" applyFont="1" applyBorder="1" applyAlignment="1">
      <alignment vertical="center"/>
    </xf>
    <xf numFmtId="38" fontId="11" fillId="0" borderId="8" xfId="0" applyNumberFormat="1" applyFont="1" applyBorder="1" applyAlignment="1">
      <alignment vertical="center"/>
    </xf>
    <xf numFmtId="38" fontId="11" fillId="0" borderId="0" xfId="0" applyNumberFormat="1" applyFont="1" applyFill="1" applyBorder="1" applyAlignment="1">
      <alignment vertical="center"/>
    </xf>
    <xf numFmtId="38" fontId="11" fillId="0" borderId="0" xfId="0" applyNumberFormat="1" applyFont="1"/>
    <xf numFmtId="38" fontId="3" fillId="0" borderId="0" xfId="0" applyNumberFormat="1" applyFont="1" applyAlignment="1">
      <alignment horizontal="center"/>
    </xf>
    <xf numFmtId="38" fontId="3" fillId="0" borderId="0" xfId="0" applyNumberFormat="1" applyFont="1" applyBorder="1" applyAlignment="1">
      <alignment horizontal="center"/>
    </xf>
    <xf numFmtId="176" fontId="17" fillId="0" borderId="0" xfId="2" applyNumberFormat="1" applyFont="1" applyAlignment="1">
      <alignment horizontal="center"/>
    </xf>
    <xf numFmtId="38" fontId="3" fillId="0" borderId="0" xfId="0" applyNumberFormat="1" applyFont="1" applyAlignment="1">
      <alignment horizontal="left"/>
    </xf>
    <xf numFmtId="177" fontId="11" fillId="0" borderId="0" xfId="0" applyNumberFormat="1" applyFont="1"/>
    <xf numFmtId="181" fontId="14" fillId="0" borderId="0" xfId="0" applyNumberFormat="1" applyFont="1"/>
    <xf numFmtId="38" fontId="3" fillId="0" borderId="0" xfId="0" applyNumberFormat="1" applyFont="1" applyAlignment="1">
      <alignment horizontal="right"/>
    </xf>
    <xf numFmtId="38" fontId="3" fillId="0" borderId="0" xfId="0" applyNumberFormat="1" applyFont="1" applyBorder="1" applyAlignment="1">
      <alignment horizontal="right"/>
    </xf>
    <xf numFmtId="38" fontId="11" fillId="0" borderId="0" xfId="0" applyNumberFormat="1" applyFont="1" applyBorder="1"/>
    <xf numFmtId="182" fontId="14" fillId="0" borderId="0" xfId="0" applyNumberFormat="1" applyFont="1" applyBorder="1" applyAlignment="1">
      <alignment horizontal="center"/>
    </xf>
    <xf numFmtId="0" fontId="3" fillId="0" borderId="0" xfId="0" applyFont="1"/>
    <xf numFmtId="38" fontId="14" fillId="0" borderId="0" xfId="0" applyNumberFormat="1" applyFont="1" applyBorder="1" applyAlignment="1">
      <alignment horizontal="center"/>
    </xf>
    <xf numFmtId="179" fontId="3" fillId="0" borderId="0" xfId="1" applyNumberFormat="1" applyFont="1" applyAlignment="1">
      <alignment horizontal="center"/>
    </xf>
    <xf numFmtId="38" fontId="19" fillId="0" borderId="0" xfId="0" applyNumberFormat="1" applyFont="1" applyAlignment="1"/>
    <xf numFmtId="0" fontId="20" fillId="0" borderId="0" xfId="0" applyFont="1" applyAlignment="1"/>
    <xf numFmtId="38" fontId="20" fillId="0" borderId="0" xfId="0" applyNumberFormat="1" applyFont="1"/>
    <xf numFmtId="177" fontId="20" fillId="0" borderId="0" xfId="0" applyNumberFormat="1" applyFont="1"/>
    <xf numFmtId="0" fontId="20" fillId="0" borderId="0" xfId="0" applyFont="1"/>
    <xf numFmtId="178" fontId="20" fillId="0" borderId="0" xfId="0" applyNumberFormat="1" applyFont="1"/>
    <xf numFmtId="38" fontId="20" fillId="0" borderId="0" xfId="0" applyNumberFormat="1" applyFont="1" applyFill="1" applyBorder="1" applyAlignment="1">
      <alignment vertical="center"/>
    </xf>
    <xf numFmtId="0" fontId="14" fillId="0" borderId="0" xfId="0" applyFont="1" applyAlignment="1">
      <alignment horizontal="center"/>
    </xf>
    <xf numFmtId="38" fontId="14" fillId="0" borderId="15" xfId="0" applyNumberFormat="1" applyFont="1" applyBorder="1" applyAlignment="1">
      <alignment horizontal="center" vertical="center"/>
    </xf>
    <xf numFmtId="38" fontId="14" fillId="0" borderId="16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177" fontId="18" fillId="0" borderId="0" xfId="0" applyNumberFormat="1" applyFont="1"/>
    <xf numFmtId="38" fontId="14" fillId="0" borderId="15" xfId="0" applyNumberFormat="1" applyFont="1" applyBorder="1" applyAlignment="1">
      <alignment horizontal="right" vertical="center"/>
    </xf>
    <xf numFmtId="38" fontId="14" fillId="0" borderId="16" xfId="0" applyNumberFormat="1" applyFont="1" applyBorder="1" applyAlignment="1">
      <alignment horizontal="right" vertical="center"/>
    </xf>
    <xf numFmtId="177" fontId="14" fillId="0" borderId="0" xfId="1" applyNumberFormat="1" applyFont="1" applyBorder="1" applyAlignment="1">
      <alignment horizontal="center"/>
    </xf>
    <xf numFmtId="177" fontId="14" fillId="0" borderId="0" xfId="0" applyNumberFormat="1" applyFont="1"/>
    <xf numFmtId="3" fontId="13" fillId="0" borderId="17" xfId="0" applyNumberFormat="1" applyFont="1" applyBorder="1" applyAlignment="1">
      <alignment horizontal="center" vertical="top"/>
    </xf>
    <xf numFmtId="3" fontId="13" fillId="0" borderId="18" xfId="0" applyNumberFormat="1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18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left" vertical="top" wrapText="1" indent="2"/>
    </xf>
    <xf numFmtId="0" fontId="13" fillId="0" borderId="23" xfId="0" applyFont="1" applyBorder="1" applyAlignment="1">
      <alignment horizontal="center" vertical="top" wrapText="1"/>
    </xf>
    <xf numFmtId="177" fontId="11" fillId="0" borderId="0" xfId="1" applyNumberFormat="1" applyFont="1" applyBorder="1" applyAlignment="1">
      <alignment horizontal="center"/>
    </xf>
    <xf numFmtId="176" fontId="14" fillId="4" borderId="0" xfId="0" applyNumberFormat="1" applyFont="1" applyFill="1"/>
    <xf numFmtId="38" fontId="11" fillId="4" borderId="15" xfId="0" applyNumberFormat="1" applyFont="1" applyFill="1" applyBorder="1" applyAlignment="1">
      <alignment horizontal="center" vertical="center"/>
    </xf>
    <xf numFmtId="38" fontId="11" fillId="4" borderId="16" xfId="0" applyNumberFormat="1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38" fontId="1" fillId="6" borderId="10" xfId="0" applyNumberFormat="1" applyFont="1" applyFill="1" applyBorder="1" applyAlignment="1">
      <alignment vertical="center"/>
    </xf>
    <xf numFmtId="0" fontId="1" fillId="6" borderId="10" xfId="0" applyFont="1" applyFill="1" applyBorder="1" applyAlignment="1" applyProtection="1">
      <alignment horizontal="center" vertical="center"/>
      <protection hidden="1"/>
    </xf>
    <xf numFmtId="3" fontId="1" fillId="6" borderId="24" xfId="0" applyNumberFormat="1" applyFont="1" applyFill="1" applyBorder="1" applyAlignment="1" applyProtection="1">
      <alignment horizontal="center" vertical="center"/>
      <protection hidden="1"/>
    </xf>
    <xf numFmtId="0" fontId="1" fillId="6" borderId="25" xfId="0" applyFont="1" applyFill="1" applyBorder="1" applyAlignment="1" applyProtection="1">
      <alignment horizontal="center" vertical="center"/>
      <protection hidden="1"/>
    </xf>
    <xf numFmtId="3" fontId="1" fillId="6" borderId="26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3" fontId="22" fillId="0" borderId="0" xfId="0" applyNumberFormat="1" applyFont="1" applyBorder="1" applyAlignment="1" applyProtection="1">
      <alignment horizontal="center" vertical="center"/>
      <protection hidden="1"/>
    </xf>
    <xf numFmtId="38" fontId="1" fillId="0" borderId="0" xfId="0" applyNumberFormat="1" applyFont="1" applyBorder="1" applyAlignment="1">
      <alignment vertical="center"/>
    </xf>
    <xf numFmtId="38" fontId="14" fillId="5" borderId="10" xfId="0" applyNumberFormat="1" applyFont="1" applyFill="1" applyBorder="1" applyAlignment="1">
      <alignment vertical="center"/>
    </xf>
    <xf numFmtId="38" fontId="14" fillId="5" borderId="8" xfId="0" applyNumberFormat="1" applyFont="1" applyFill="1" applyBorder="1" applyAlignment="1">
      <alignment vertical="center"/>
    </xf>
    <xf numFmtId="0" fontId="16" fillId="7" borderId="0" xfId="0" applyFont="1" applyFill="1" applyAlignment="1"/>
    <xf numFmtId="0" fontId="17" fillId="7" borderId="0" xfId="0" applyFont="1" applyFill="1" applyAlignment="1"/>
    <xf numFmtId="38" fontId="17" fillId="7" borderId="0" xfId="0" applyNumberFormat="1" applyFont="1" applyFill="1"/>
    <xf numFmtId="0" fontId="16" fillId="7" borderId="0" xfId="0" applyFont="1" applyFill="1"/>
    <xf numFmtId="179" fontId="16" fillId="7" borderId="0" xfId="1" applyNumberFormat="1" applyFont="1" applyFill="1" applyAlignment="1">
      <alignment horizontal="center"/>
    </xf>
    <xf numFmtId="179" fontId="16" fillId="7" borderId="0" xfId="1" applyNumberFormat="1" applyFont="1" applyFill="1" applyAlignment="1" applyProtection="1">
      <alignment horizontal="center"/>
    </xf>
    <xf numFmtId="38" fontId="16" fillId="7" borderId="0" xfId="0" applyNumberFormat="1" applyFont="1" applyFill="1" applyAlignment="1"/>
    <xf numFmtId="0" fontId="17" fillId="7" borderId="0" xfId="0" applyFont="1" applyFill="1"/>
    <xf numFmtId="38" fontId="3" fillId="7" borderId="16" xfId="0" applyNumberFormat="1" applyFont="1" applyFill="1" applyBorder="1" applyAlignment="1">
      <alignment horizontal="center"/>
    </xf>
    <xf numFmtId="38" fontId="0" fillId="7" borderId="27" xfId="0" applyNumberFormat="1" applyFont="1" applyFill="1" applyBorder="1" applyAlignment="1">
      <alignment horizontal="center"/>
    </xf>
    <xf numFmtId="0" fontId="0" fillId="7" borderId="28" xfId="0" applyFont="1" applyFill="1" applyBorder="1" applyAlignment="1">
      <alignment wrapText="1"/>
    </xf>
    <xf numFmtId="38" fontId="0" fillId="7" borderId="15" xfId="0" applyNumberFormat="1" applyFont="1" applyFill="1" applyBorder="1" applyAlignment="1">
      <alignment horizontal="center" vertical="center"/>
    </xf>
    <xf numFmtId="38" fontId="0" fillId="7" borderId="0" xfId="0" applyNumberFormat="1" applyFont="1" applyFill="1" applyBorder="1" applyAlignment="1">
      <alignment horizontal="center" vertical="center" wrapText="1"/>
    </xf>
    <xf numFmtId="38" fontId="0" fillId="7" borderId="10" xfId="0" applyNumberFormat="1" applyFont="1" applyFill="1" applyBorder="1" applyAlignment="1">
      <alignment vertical="center"/>
    </xf>
    <xf numFmtId="38" fontId="0" fillId="7" borderId="0" xfId="0" applyNumberFormat="1" applyFont="1" applyFill="1" applyBorder="1" applyAlignment="1">
      <alignment vertical="center"/>
    </xf>
    <xf numFmtId="38" fontId="23" fillId="0" borderId="8" xfId="0" applyNumberFormat="1" applyFont="1" applyBorder="1"/>
    <xf numFmtId="38" fontId="23" fillId="0" borderId="8" xfId="0" applyNumberFormat="1" applyFont="1" applyBorder="1" applyAlignment="1">
      <alignment horizontal="right"/>
    </xf>
    <xf numFmtId="38" fontId="24" fillId="0" borderId="8" xfId="0" applyNumberFormat="1" applyFont="1" applyBorder="1" applyAlignment="1">
      <alignment horizontal="center"/>
    </xf>
    <xf numFmtId="38" fontId="24" fillId="0" borderId="8" xfId="0" applyNumberFormat="1" applyFont="1" applyBorder="1"/>
    <xf numFmtId="0" fontId="6" fillId="0" borderId="0" xfId="0" applyFont="1" applyBorder="1"/>
    <xf numFmtId="183" fontId="14" fillId="0" borderId="0" xfId="0" applyNumberFormat="1" applyFont="1"/>
    <xf numFmtId="0" fontId="0" fillId="0" borderId="0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38" fontId="25" fillId="0" borderId="29" xfId="0" applyNumberFormat="1" applyFont="1" applyBorder="1" applyAlignment="1">
      <alignment horizontal="left" vertical="center" wrapText="1"/>
    </xf>
    <xf numFmtId="38" fontId="25" fillId="0" borderId="0" xfId="0" applyNumberFormat="1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3" fillId="0" borderId="38" xfId="0" applyFont="1" applyBorder="1" applyAlignment="1">
      <alignment horizontal="center" vertical="top" wrapText="1"/>
    </xf>
    <xf numFmtId="0" fontId="13" fillId="0" borderId="39" xfId="0" applyFont="1" applyBorder="1" applyAlignment="1">
      <alignment horizontal="center" vertical="top" wrapText="1"/>
    </xf>
    <xf numFmtId="0" fontId="13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38" fontId="25" fillId="0" borderId="29" xfId="0" applyNumberFormat="1" applyFont="1" applyBorder="1" applyAlignment="1">
      <alignment horizontal="left" vertical="top" wrapText="1"/>
    </xf>
    <xf numFmtId="38" fontId="25" fillId="0" borderId="0" xfId="0" applyNumberFormat="1" applyFont="1" applyBorder="1" applyAlignment="1">
      <alignment horizontal="left" vertical="top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justify" vertical="center" wrapText="1"/>
    </xf>
    <xf numFmtId="0" fontId="13" fillId="0" borderId="32" xfId="0" applyFont="1" applyBorder="1" applyAlignment="1">
      <alignment horizontal="justify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</cellXfs>
  <cellStyles count="3">
    <cellStyle name="一般" xfId="0" builtinId="0"/>
    <cellStyle name="千分位" xfId="1" builtinId="3"/>
    <cellStyle name="百分比" xfId="2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r>
              <a:rPr lang="zh-TW" altLang="en-US"/>
              <a:t>儲金部分提撥狀況（新台幣：元）</a:t>
            </a:r>
          </a:p>
        </c:rich>
      </c:tx>
      <c:layout>
        <c:manualLayout>
          <c:xMode val="edge"/>
          <c:yMode val="edge"/>
          <c:x val="0.2250179104970369"/>
          <c:y val="8.84039157267503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61878770879951"/>
          <c:y val="0.30630765373228874"/>
          <c:w val="0.67505379293966383"/>
          <c:h val="0.572074588588245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sheet2!$FI$510</c:f>
              <c:strCache>
                <c:ptCount val="1"/>
                <c:pt idx="0">
                  <c:v>自提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sheet2!$FH$510</c:f>
              <c:numCache>
                <c:formatCode>#,##0_);[Red]\(#,##0\)</c:formatCode>
                <c:ptCount val="1"/>
                <c:pt idx="0">
                  <c:v>1679685.8399999999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8-41D0-9826-A4577AE309C4}"/>
            </c:ext>
          </c:extLst>
        </c:ser>
        <c:ser>
          <c:idx val="1"/>
          <c:order val="1"/>
          <c:tx>
            <c:strRef>
              <c:f>sheet2!$FI$511</c:f>
              <c:strCache>
                <c:ptCount val="1"/>
                <c:pt idx="0">
                  <c:v>校提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sheet2!$FH$511</c:f>
              <c:numCache>
                <c:formatCode>#,##0_);[Red]\(#,##0\)</c:formatCode>
                <c:ptCount val="1"/>
                <c:pt idx="0">
                  <c:v>1559708.28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48-41D0-9826-A4577AE309C4}"/>
            </c:ext>
          </c:extLst>
        </c:ser>
        <c:ser>
          <c:idx val="2"/>
          <c:order val="2"/>
          <c:tx>
            <c:strRef>
              <c:f>sheet2!$FI$512</c:f>
              <c:strCache>
                <c:ptCount val="1"/>
                <c:pt idx="0">
                  <c:v>公提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sheet2!$FH$512</c:f>
              <c:numCache>
                <c:formatCode>#,##0_);[Red]\(#,##0\)</c:formatCode>
                <c:ptCount val="1"/>
                <c:pt idx="0">
                  <c:v>1559708.28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48-41D0-9826-A4577AE309C4}"/>
            </c:ext>
          </c:extLst>
        </c:ser>
        <c:ser>
          <c:idx val="3"/>
          <c:order val="3"/>
          <c:tx>
            <c:strRef>
              <c:f>sheet2!$FI$513</c:f>
              <c:strCache>
                <c:ptCount val="1"/>
                <c:pt idx="0">
                  <c:v>孳息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1245622774420094E-17"/>
                  <c:y val="-5.333340799077233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A48-41D0-9826-A4577AE309C4}"/>
                </c:ext>
              </c:extLst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新細明體"/>
                    <a:ea typeface="新細明體"/>
                    <a:cs typeface="新細明體"/>
                  </a:defRPr>
                </a:pPr>
                <a:endParaRPr lang="zh-TW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sheet2!$FH$513</c:f>
              <c:numCache>
                <c:formatCode>#,##0_);[Red]\(#,##0\)</c:formatCode>
                <c:ptCount val="1"/>
                <c:pt idx="0">
                  <c:v>4887927.304285042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48-41D0-9826-A4577AE30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6261864"/>
        <c:axId val="296262256"/>
      </c:barChart>
      <c:catAx>
        <c:axId val="296261864"/>
        <c:scaling>
          <c:orientation val="minMax"/>
        </c:scaling>
        <c:delete val="1"/>
        <c:axPos val="b"/>
        <c:majorTickMark val="out"/>
        <c:minorTickMark val="none"/>
        <c:tickLblPos val="nextTo"/>
        <c:crossAx val="296262256"/>
        <c:crosses val="autoZero"/>
        <c:auto val="1"/>
        <c:lblAlgn val="ctr"/>
        <c:lblOffset val="100"/>
        <c:noMultiLvlLbl val="0"/>
      </c:catAx>
      <c:valAx>
        <c:axId val="296262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新細明體"/>
                <a:ea typeface="新細明體"/>
                <a:cs typeface="新細明體"/>
              </a:defRPr>
            </a:pPr>
            <a:endParaRPr lang="zh-TW"/>
          </a:p>
        </c:txPr>
        <c:crossAx val="2962618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373341697067729"/>
          <c:y val="0.36486628360644108"/>
          <c:w val="0.11949707544418586"/>
          <c:h val="0.454957083067319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新細明體"/>
              <a:ea typeface="新細明體"/>
              <a:cs typeface="新細明體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新細明體"/>
          <a:ea typeface="新細明體"/>
          <a:cs typeface="新細明體"/>
        </a:defRPr>
      </a:pPr>
      <a:endParaRPr lang="zh-TW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14</xdr:row>
      <xdr:rowOff>76200</xdr:rowOff>
    </xdr:from>
    <xdr:to>
      <xdr:col>6</xdr:col>
      <xdr:colOff>2971800</xdr:colOff>
      <xdr:row>20</xdr:row>
      <xdr:rowOff>171450</xdr:rowOff>
    </xdr:to>
    <xdr:graphicFrame macro="">
      <xdr:nvGraphicFramePr>
        <xdr:cNvPr id="208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0</xdr:rowOff>
        </xdr:from>
        <xdr:to>
          <xdr:col>3</xdr:col>
          <xdr:colOff>47625</xdr:colOff>
          <xdr:row>3</xdr:row>
          <xdr:rowOff>19050</xdr:rowOff>
        </xdr:to>
        <xdr:sp macro="" textlink="">
          <xdr:nvSpPr>
            <xdr:cNvPr id="2049" name="ComboBox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1476375</xdr:colOff>
          <xdr:row>5</xdr:row>
          <xdr:rowOff>257175</xdr:rowOff>
        </xdr:from>
        <xdr:to>
          <xdr:col>2</xdr:col>
          <xdr:colOff>0</xdr:colOff>
          <xdr:row>7</xdr:row>
          <xdr:rowOff>0</xdr:rowOff>
        </xdr:to>
        <xdr:sp macro="" textlink="">
          <xdr:nvSpPr>
            <xdr:cNvPr id="2051" name="SpinButton1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1485900</xdr:colOff>
          <xdr:row>5</xdr:row>
          <xdr:rowOff>257175</xdr:rowOff>
        </xdr:from>
        <xdr:to>
          <xdr:col>3</xdr:col>
          <xdr:colOff>0</xdr:colOff>
          <xdr:row>7</xdr:row>
          <xdr:rowOff>0</xdr:rowOff>
        </xdr:to>
        <xdr:sp macro="" textlink="">
          <xdr:nvSpPr>
            <xdr:cNvPr id="2052" name="SpinButton2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1476375</xdr:colOff>
          <xdr:row>9</xdr:row>
          <xdr:rowOff>257175</xdr:rowOff>
        </xdr:from>
        <xdr:to>
          <xdr:col>2</xdr:col>
          <xdr:colOff>0</xdr:colOff>
          <xdr:row>11</xdr:row>
          <xdr:rowOff>0</xdr:rowOff>
        </xdr:to>
        <xdr:sp macro="" textlink="">
          <xdr:nvSpPr>
            <xdr:cNvPr id="2056" name="SpinButton5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1485900</xdr:colOff>
          <xdr:row>9</xdr:row>
          <xdr:rowOff>257175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2057" name="SpinButton6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14</xdr:row>
          <xdr:rowOff>0</xdr:rowOff>
        </xdr:from>
        <xdr:to>
          <xdr:col>3</xdr:col>
          <xdr:colOff>47625</xdr:colOff>
          <xdr:row>15</xdr:row>
          <xdr:rowOff>19050</xdr:rowOff>
        </xdr:to>
        <xdr:sp macro="" textlink="">
          <xdr:nvSpPr>
            <xdr:cNvPr id="2058" name="ComboBox3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1485900</xdr:colOff>
          <xdr:row>17</xdr:row>
          <xdr:rowOff>0</xdr:rowOff>
        </xdr:from>
        <xdr:to>
          <xdr:col>3</xdr:col>
          <xdr:colOff>0</xdr:colOff>
          <xdr:row>18</xdr:row>
          <xdr:rowOff>9525</xdr:rowOff>
        </xdr:to>
        <xdr:sp macro="" textlink="">
          <xdr:nvSpPr>
            <xdr:cNvPr id="2060" name="SpinButton3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3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7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5" Type="http://schemas.openxmlformats.org/officeDocument/2006/relationships/image" Target="../media/image1.emf"/><Relationship Id="rId10" Type="http://schemas.openxmlformats.org/officeDocument/2006/relationships/control" Target="../activeX/activeX5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H23"/>
  <sheetViews>
    <sheetView showGridLines="0" showRowColHeaders="0" tabSelected="1" zoomScaleNormal="100" zoomScaleSheetLayoutView="98" workbookViewId="0">
      <selection activeCell="C14" sqref="C14"/>
    </sheetView>
  </sheetViews>
  <sheetFormatPr defaultRowHeight="16.5"/>
  <cols>
    <col min="1" max="1" width="1.625" customWidth="1"/>
    <col min="2" max="2" width="22.625" customWidth="1"/>
    <col min="3" max="3" width="22.75" customWidth="1"/>
    <col min="4" max="5" width="1.625" customWidth="1"/>
    <col min="6" max="6" width="20.625" customWidth="1"/>
    <col min="7" max="7" width="39.625" customWidth="1"/>
    <col min="8" max="8" width="1.625" customWidth="1"/>
  </cols>
  <sheetData>
    <row r="1" spans="1:8" ht="26.25" thickBot="1">
      <c r="A1" s="27"/>
      <c r="B1" s="6" t="str">
        <f>sheet2!FA501</f>
        <v>私立學校退撫儲金試算表</v>
      </c>
      <c r="C1" s="5"/>
      <c r="D1" s="5"/>
      <c r="E1" s="5"/>
      <c r="F1" s="6"/>
      <c r="G1" s="29" t="s">
        <v>158</v>
      </c>
      <c r="H1" s="7"/>
    </row>
    <row r="2" spans="1:8" ht="21">
      <c r="A2" s="17"/>
      <c r="B2" s="149" t="s">
        <v>128</v>
      </c>
      <c r="C2" s="149"/>
      <c r="D2" s="26"/>
      <c r="F2" s="149" t="s">
        <v>129</v>
      </c>
      <c r="G2" s="149"/>
      <c r="H2" s="8"/>
    </row>
    <row r="3" spans="1:8" ht="21">
      <c r="A3" s="17"/>
      <c r="B3" s="21" t="str">
        <f>sheet2!FA502</f>
        <v>參加儲金薪額</v>
      </c>
      <c r="D3" s="8"/>
      <c r="F3" s="28" t="str">
        <f>sheet2!FF508</f>
        <v>項目</v>
      </c>
      <c r="G3" s="28" t="str">
        <f>sheet2!FG508</f>
        <v>金額（新台幣：元）</v>
      </c>
      <c r="H3" s="25"/>
    </row>
    <row r="4" spans="1:8" ht="21" customHeight="1">
      <c r="A4" s="17"/>
      <c r="B4" s="145"/>
      <c r="D4" s="8"/>
      <c r="F4" s="141" t="str">
        <f>sheet2!FF509</f>
        <v>一次給付</v>
      </c>
      <c r="G4" s="143">
        <f>sheet2!FG509</f>
        <v>9687029.7042850424</v>
      </c>
      <c r="H4" s="25"/>
    </row>
    <row r="5" spans="1:8" ht="21">
      <c r="A5" s="17"/>
      <c r="B5" s="21" t="str">
        <f>sheet2!FA504</f>
        <v>舊制年資(98.12.31以前年資)</v>
      </c>
      <c r="D5" s="8"/>
      <c r="F5" s="142" t="str">
        <f>sheet2!FF510</f>
        <v>舊制部分</v>
      </c>
      <c r="G5" s="144">
        <f>sheet2!FG510</f>
        <v>0</v>
      </c>
      <c r="H5" s="25"/>
    </row>
    <row r="6" spans="1:8" ht="21">
      <c r="A6" s="17"/>
      <c r="B6" s="22" t="s">
        <v>120</v>
      </c>
      <c r="C6" s="2" t="s">
        <v>121</v>
      </c>
      <c r="D6" s="9"/>
      <c r="F6" s="142" t="str">
        <f>sheet2!FF511</f>
        <v>儲金部分</v>
      </c>
      <c r="G6" s="144">
        <f>sheet2!FG511</f>
        <v>9687029.7042850424</v>
      </c>
      <c r="H6" s="25"/>
    </row>
    <row r="7" spans="1:8" ht="21" customHeight="1">
      <c r="A7" s="17"/>
      <c r="B7" s="20">
        <f>sheet2!FB504</f>
        <v>0</v>
      </c>
      <c r="C7" s="20">
        <f>sheet2!FC504</f>
        <v>0</v>
      </c>
      <c r="D7" s="10"/>
      <c r="F7" s="156" t="str">
        <f>sheet2!EW505</f>
        <v>定期給付：
每年領取金額 = 一次給付金額*0.04。例如：一次給付金額為9,687,030元，則每年領取金額=9,687,030元*0.04=484,351元。
註1：定期給付之計算方式是在設算利率2%，期末領取及領取期間35年等假設下所進行之估算。
註2：本表之試算結果是依所輸入之個人資料及假設計算而得，不代表退休時實際領取金額。
註3：退休金實際領取金額須視實際工作年資、提撥金額、收益率及年金保險商品而定，如需詳細說明，請電洽儲金管理會(02-23962880)。</v>
      </c>
      <c r="G7" s="156"/>
      <c r="H7" s="25"/>
    </row>
    <row r="8" spans="1:8" ht="21" customHeight="1">
      <c r="A8" s="17"/>
      <c r="B8" s="18"/>
      <c r="D8" s="8"/>
      <c r="F8" s="157"/>
      <c r="G8" s="157"/>
      <c r="H8" s="8"/>
    </row>
    <row r="9" spans="1:8" ht="21">
      <c r="A9" s="17"/>
      <c r="B9" s="21" t="str">
        <f>sheet2!FA505</f>
        <v>預計儲金年資(99.1.1以後年資)</v>
      </c>
      <c r="D9" s="8"/>
      <c r="F9" s="157"/>
      <c r="G9" s="157"/>
      <c r="H9" s="8"/>
    </row>
    <row r="10" spans="1:8" ht="21">
      <c r="A10" s="17"/>
      <c r="B10" s="22" t="s">
        <v>120</v>
      </c>
      <c r="C10" s="2" t="s">
        <v>121</v>
      </c>
      <c r="D10" s="9"/>
      <c r="F10" s="157"/>
      <c r="G10" s="157"/>
      <c r="H10" s="8"/>
    </row>
    <row r="11" spans="1:8" ht="21">
      <c r="A11" s="17"/>
      <c r="B11" s="20">
        <f>sheet2!FB505</f>
        <v>35</v>
      </c>
      <c r="C11" s="20">
        <f>sheet2!FC505</f>
        <v>0</v>
      </c>
      <c r="D11" s="10"/>
      <c r="F11" s="157"/>
      <c r="G11" s="157"/>
      <c r="H11" s="8"/>
    </row>
    <row r="12" spans="1:8" ht="12" customHeight="1">
      <c r="A12" s="17"/>
      <c r="B12" s="18"/>
      <c r="D12" s="8"/>
      <c r="F12" s="157"/>
      <c r="G12" s="157"/>
      <c r="H12" s="8"/>
    </row>
    <row r="13" spans="1:8" ht="21">
      <c r="A13" s="17"/>
      <c r="B13" s="23" t="str">
        <f>sheet2!FD503</f>
        <v>推算退休最後薪額</v>
      </c>
      <c r="C13" s="1" t="str">
        <f>CONCATENATE(sheet2!FE503," 元：",sheet2!FE504)</f>
        <v>770 元：53075</v>
      </c>
      <c r="D13" s="11"/>
      <c r="F13" s="157"/>
      <c r="G13" s="157"/>
      <c r="H13" s="8"/>
    </row>
    <row r="14" spans="1:8" ht="12" customHeight="1">
      <c r="A14" s="17"/>
      <c r="B14" s="18"/>
      <c r="D14" s="8"/>
      <c r="F14" s="157"/>
      <c r="G14" s="157"/>
      <c r="H14" s="8"/>
    </row>
    <row r="15" spans="1:8" ht="21">
      <c r="A15" s="17"/>
      <c r="B15" s="21" t="str">
        <f>sheet2!FA503</f>
        <v>本職最高薪額</v>
      </c>
      <c r="D15" s="8"/>
      <c r="G15" s="18"/>
      <c r="H15" s="8"/>
    </row>
    <row r="16" spans="1:8">
      <c r="A16" s="17"/>
      <c r="B16" s="24" t="s">
        <v>124</v>
      </c>
      <c r="D16" s="8"/>
      <c r="G16" s="18"/>
      <c r="H16" s="8"/>
    </row>
    <row r="17" spans="1:8" ht="12" customHeight="1">
      <c r="A17" s="17"/>
      <c r="B17" s="18"/>
      <c r="D17" s="8"/>
      <c r="G17" s="18"/>
      <c r="H17" s="8"/>
    </row>
    <row r="18" spans="1:8" ht="21">
      <c r="A18" s="17"/>
      <c r="B18" s="23" t="str">
        <f>sheet2!FA506</f>
        <v>預計年收益率(%)</v>
      </c>
      <c r="C18" s="20">
        <f>sheet2!FC506*100</f>
        <v>4</v>
      </c>
      <c r="D18" s="10"/>
      <c r="G18" s="18"/>
      <c r="H18" s="8"/>
    </row>
    <row r="19" spans="1:8" ht="12" customHeight="1">
      <c r="A19" s="17"/>
      <c r="B19" s="18"/>
      <c r="D19" s="8"/>
      <c r="G19" s="18"/>
      <c r="H19" s="8"/>
    </row>
    <row r="20" spans="1:8" ht="21">
      <c r="A20" s="17"/>
      <c r="B20" s="21" t="s">
        <v>125</v>
      </c>
      <c r="C20" s="3">
        <v>0.12</v>
      </c>
      <c r="D20" s="12"/>
      <c r="E20" s="17"/>
      <c r="F20" s="18"/>
      <c r="G20" s="18"/>
      <c r="H20" s="8"/>
    </row>
    <row r="21" spans="1:8" ht="17.25" thickBot="1">
      <c r="A21" s="17"/>
      <c r="B21" s="18"/>
      <c r="D21" s="8"/>
      <c r="E21" s="19"/>
      <c r="F21" s="15"/>
      <c r="G21" s="4"/>
      <c r="H21" s="16"/>
    </row>
    <row r="22" spans="1:8">
      <c r="A22" s="17"/>
      <c r="B22" s="147" t="s">
        <v>157</v>
      </c>
      <c r="C22" s="147"/>
      <c r="D22" s="13"/>
      <c r="E22" s="150" t="s">
        <v>154</v>
      </c>
      <c r="F22" s="151"/>
      <c r="G22" s="151"/>
      <c r="H22" s="152"/>
    </row>
    <row r="23" spans="1:8" ht="20.25" thickBot="1">
      <c r="A23" s="19"/>
      <c r="B23" s="148" t="s">
        <v>126</v>
      </c>
      <c r="C23" s="148"/>
      <c r="D23" s="14"/>
      <c r="E23" s="153"/>
      <c r="F23" s="154"/>
      <c r="G23" s="154"/>
      <c r="H23" s="155"/>
    </row>
  </sheetData>
  <sheetProtection selectLockedCells="1"/>
  <mergeCells count="6">
    <mergeCell ref="B22:C22"/>
    <mergeCell ref="B23:C23"/>
    <mergeCell ref="B2:C2"/>
    <mergeCell ref="F2:G2"/>
    <mergeCell ref="E22:H23"/>
    <mergeCell ref="F7:G14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60" r:id="rId4" name="SpinButton3">
          <controlPr autoLine="0" linkedCell="sheet2!FB506" r:id="rId5">
            <anchor moveWithCells="1">
              <from>
                <xdr:col>2</xdr:col>
                <xdr:colOff>1485900</xdr:colOff>
                <xdr:row>17</xdr:row>
                <xdr:rowOff>0</xdr:rowOff>
              </from>
              <to>
                <xdr:col>3</xdr:col>
                <xdr:colOff>0</xdr:colOff>
                <xdr:row>18</xdr:row>
                <xdr:rowOff>9525</xdr:rowOff>
              </to>
            </anchor>
          </controlPr>
        </control>
      </mc:Choice>
      <mc:Fallback>
        <control shapeId="2060" r:id="rId4" name="SpinButton3"/>
      </mc:Fallback>
    </mc:AlternateContent>
    <mc:AlternateContent xmlns:mc="http://schemas.openxmlformats.org/markup-compatibility/2006">
      <mc:Choice Requires="x14">
        <control shapeId="2058" r:id="rId6" name="ComboBox3">
          <controlPr autoLine="0" linkedCell="sheet2!FB510" listFillRange="sheet2!GC519:GC540" r:id="rId7">
            <anchor moveWithCells="1">
              <from>
                <xdr:col>2</xdr:col>
                <xdr:colOff>9525</xdr:colOff>
                <xdr:row>14</xdr:row>
                <xdr:rowOff>0</xdr:rowOff>
              </from>
              <to>
                <xdr:col>3</xdr:col>
                <xdr:colOff>47625</xdr:colOff>
                <xdr:row>15</xdr:row>
                <xdr:rowOff>19050</xdr:rowOff>
              </to>
            </anchor>
          </controlPr>
        </control>
      </mc:Choice>
      <mc:Fallback>
        <control shapeId="2058" r:id="rId6" name="ComboBox3"/>
      </mc:Fallback>
    </mc:AlternateContent>
    <mc:AlternateContent xmlns:mc="http://schemas.openxmlformats.org/markup-compatibility/2006">
      <mc:Choice Requires="x14">
        <control shapeId="2057" r:id="rId8" name="SpinButton6">
          <controlPr autoLine="0" linkedCell="sheet2!FC505" r:id="rId5">
            <anchor moveWithCells="1">
              <from>
                <xdr:col>2</xdr:col>
                <xdr:colOff>1485900</xdr:colOff>
                <xdr:row>9</xdr:row>
                <xdr:rowOff>257175</xdr:rowOff>
              </from>
              <to>
                <xdr:col>3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2057" r:id="rId8" name="SpinButton6"/>
      </mc:Fallback>
    </mc:AlternateContent>
    <mc:AlternateContent xmlns:mc="http://schemas.openxmlformats.org/markup-compatibility/2006">
      <mc:Choice Requires="x14">
        <control shapeId="2056" r:id="rId9" name="SpinButton5">
          <controlPr autoLine="0" linkedCell="sheet2!FB505" r:id="rId5">
            <anchor moveWithCells="1">
              <from>
                <xdr:col>1</xdr:col>
                <xdr:colOff>1476375</xdr:colOff>
                <xdr:row>9</xdr:row>
                <xdr:rowOff>257175</xdr:rowOff>
              </from>
              <to>
                <xdr:col>2</xdr:col>
                <xdr:colOff>0</xdr:colOff>
                <xdr:row>11</xdr:row>
                <xdr:rowOff>0</xdr:rowOff>
              </to>
            </anchor>
          </controlPr>
        </control>
      </mc:Choice>
      <mc:Fallback>
        <control shapeId="2056" r:id="rId9" name="SpinButton5"/>
      </mc:Fallback>
    </mc:AlternateContent>
    <mc:AlternateContent xmlns:mc="http://schemas.openxmlformats.org/markup-compatibility/2006">
      <mc:Choice Requires="x14">
        <control shapeId="2052" r:id="rId10" name="SpinButton2">
          <controlPr autoLine="0" linkedCell="sheet2!FC504" r:id="rId5">
            <anchor moveWithCells="1">
              <from>
                <xdr:col>2</xdr:col>
                <xdr:colOff>1485900</xdr:colOff>
                <xdr:row>5</xdr:row>
                <xdr:rowOff>257175</xdr:rowOff>
              </from>
              <to>
                <xdr:col>3</xdr:col>
                <xdr:colOff>0</xdr:colOff>
                <xdr:row>7</xdr:row>
                <xdr:rowOff>0</xdr:rowOff>
              </to>
            </anchor>
          </controlPr>
        </control>
      </mc:Choice>
      <mc:Fallback>
        <control shapeId="2052" r:id="rId10" name="SpinButton2"/>
      </mc:Fallback>
    </mc:AlternateContent>
    <mc:AlternateContent xmlns:mc="http://schemas.openxmlformats.org/markup-compatibility/2006">
      <mc:Choice Requires="x14">
        <control shapeId="2051" r:id="rId11" name="SpinButton1">
          <controlPr autoLine="0" linkedCell="sheet2!FB504" r:id="rId5">
            <anchor moveWithCells="1">
              <from>
                <xdr:col>1</xdr:col>
                <xdr:colOff>1476375</xdr:colOff>
                <xdr:row>5</xdr:row>
                <xdr:rowOff>257175</xdr:rowOff>
              </from>
              <to>
                <xdr:col>2</xdr:col>
                <xdr:colOff>0</xdr:colOff>
                <xdr:row>7</xdr:row>
                <xdr:rowOff>0</xdr:rowOff>
              </to>
            </anchor>
          </controlPr>
        </control>
      </mc:Choice>
      <mc:Fallback>
        <control shapeId="2051" r:id="rId11" name="SpinButton1"/>
      </mc:Fallback>
    </mc:AlternateContent>
    <mc:AlternateContent xmlns:mc="http://schemas.openxmlformats.org/markup-compatibility/2006">
      <mc:Choice Requires="x14">
        <control shapeId="2049" r:id="rId12" name="ComboBox1">
          <controlPr autoLine="0" linkedCell="sheet2!FB501" listFillRange="sheet2!GC502:GC540" r:id="rId13">
            <anchor moveWithCells="1">
              <from>
                <xdr:col>2</xdr:col>
                <xdr:colOff>9525</xdr:colOff>
                <xdr:row>2</xdr:row>
                <xdr:rowOff>0</xdr:rowOff>
              </from>
              <to>
                <xdr:col>3</xdr:col>
                <xdr:colOff>47625</xdr:colOff>
                <xdr:row>3</xdr:row>
                <xdr:rowOff>19050</xdr:rowOff>
              </to>
            </anchor>
          </controlPr>
        </control>
      </mc:Choice>
      <mc:Fallback>
        <control shapeId="2049" r:id="rId12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EW500:GK597"/>
  <sheetViews>
    <sheetView topLeftCell="FQ495" workbookViewId="0">
      <selection activeCell="GE536" sqref="GE536"/>
    </sheetView>
  </sheetViews>
  <sheetFormatPr defaultColWidth="9" defaultRowHeight="16.5"/>
  <cols>
    <col min="1" max="152" width="9" style="32"/>
    <col min="153" max="153" width="11.625" style="32" customWidth="1"/>
    <col min="154" max="154" width="9" style="32"/>
    <col min="155" max="155" width="11.375" style="32" bestFit="1" customWidth="1"/>
    <col min="156" max="156" width="9" style="32"/>
    <col min="157" max="157" width="20.625" style="32" customWidth="1"/>
    <col min="158" max="159" width="9" style="32"/>
    <col min="160" max="160" width="14.25" style="32" customWidth="1"/>
    <col min="161" max="161" width="11.125" style="32" customWidth="1"/>
    <col min="162" max="162" width="15.625" style="32" customWidth="1"/>
    <col min="163" max="163" width="20.625" style="32" customWidth="1"/>
    <col min="164" max="164" width="10.875" style="32" customWidth="1"/>
    <col min="165" max="165" width="15" style="32" bestFit="1" customWidth="1"/>
    <col min="166" max="166" width="11.5" style="32" bestFit="1" customWidth="1"/>
    <col min="167" max="167" width="20" style="32" customWidth="1"/>
    <col min="168" max="168" width="12" style="32" customWidth="1"/>
    <col min="169" max="169" width="12.125" style="32" customWidth="1"/>
    <col min="170" max="170" width="14.125" style="32" bestFit="1" customWidth="1"/>
    <col min="171" max="171" width="13.25" style="32" bestFit="1" customWidth="1"/>
    <col min="172" max="172" width="13.625" style="32" bestFit="1" customWidth="1"/>
    <col min="173" max="184" width="9" style="32"/>
    <col min="185" max="185" width="13" style="32" customWidth="1"/>
    <col min="186" max="187" width="9" style="32"/>
    <col min="188" max="188" width="32.5" style="32" customWidth="1"/>
    <col min="189" max="190" width="9" style="32"/>
    <col min="191" max="191" width="12.875" style="32" customWidth="1"/>
    <col min="192" max="16384" width="9" style="32"/>
  </cols>
  <sheetData>
    <row r="500" spans="153:193" s="30" customFormat="1" ht="17.25" thickBot="1"/>
    <row r="501" spans="153:193" s="35" customFormat="1" ht="35.25" thickTop="1" thickBot="1">
      <c r="FA501" s="31" t="s">
        <v>127</v>
      </c>
      <c r="FB501" s="32" t="s">
        <v>155</v>
      </c>
      <c r="FC501" s="32"/>
      <c r="FD501" s="32"/>
      <c r="FE501" s="32"/>
      <c r="FF501" s="32"/>
      <c r="FG501" s="32"/>
      <c r="FH501" s="32"/>
      <c r="FI501" s="136"/>
      <c r="FJ501" s="32"/>
      <c r="FK501" s="33" t="s">
        <v>10</v>
      </c>
      <c r="FL501" s="33" t="s">
        <v>130</v>
      </c>
      <c r="FM501" s="33" t="s">
        <v>131</v>
      </c>
      <c r="FN501" s="33" t="s">
        <v>132</v>
      </c>
      <c r="FO501" s="33" t="s">
        <v>133</v>
      </c>
      <c r="FP501" s="32"/>
      <c r="FQ501" s="33" t="s">
        <v>134</v>
      </c>
      <c r="FR501" s="32" t="s">
        <v>135</v>
      </c>
      <c r="FS501" s="32"/>
      <c r="FT501" s="33" t="s">
        <v>136</v>
      </c>
      <c r="FU501" s="32" t="s">
        <v>135</v>
      </c>
      <c r="FV501" s="32"/>
      <c r="FW501" s="113" t="s">
        <v>0</v>
      </c>
      <c r="FX501" s="114" t="s">
        <v>1</v>
      </c>
      <c r="FY501" s="115" t="s">
        <v>137</v>
      </c>
      <c r="FZ501" s="137"/>
      <c r="GA501" s="138"/>
      <c r="GB501" s="34"/>
      <c r="GC501" s="32"/>
      <c r="GD501" s="32"/>
      <c r="GE501" s="167" t="s">
        <v>20</v>
      </c>
      <c r="GF501" s="168"/>
      <c r="GG501" s="168"/>
      <c r="GH501" s="169" t="s">
        <v>21</v>
      </c>
      <c r="GI501" s="170"/>
    </row>
    <row r="502" spans="153:193" s="35" customFormat="1">
      <c r="FA502" s="35" t="s">
        <v>138</v>
      </c>
      <c r="FB502" s="36">
        <f>VALUE(LEFT(FB501,3))</f>
        <v>330</v>
      </c>
      <c r="FC502" s="35">
        <f>VLOOKUP($FB$502,salary,2)</f>
        <v>31355</v>
      </c>
      <c r="FD502" s="35" t="s">
        <v>6</v>
      </c>
      <c r="FE502" s="37">
        <v>0.35</v>
      </c>
      <c r="FH502" s="38"/>
      <c r="FI502" s="135"/>
      <c r="FK502" s="39">
        <v>0</v>
      </c>
      <c r="FL502" s="40">
        <v>0</v>
      </c>
      <c r="FM502" s="39">
        <v>0</v>
      </c>
      <c r="FN502" s="35">
        <v>0</v>
      </c>
      <c r="FO502" s="40">
        <v>0</v>
      </c>
      <c r="FQ502" s="35">
        <v>0</v>
      </c>
      <c r="FR502" s="35">
        <v>0</v>
      </c>
      <c r="FT502" s="35">
        <v>0</v>
      </c>
      <c r="FU502" s="35">
        <f t="shared" ref="FU502:FU516" si="0">FT502*1.5</f>
        <v>0</v>
      </c>
      <c r="FW502" s="117">
        <v>90</v>
      </c>
      <c r="FX502" s="118">
        <v>15575</v>
      </c>
      <c r="FY502" s="35">
        <v>1</v>
      </c>
      <c r="FZ502" s="139"/>
      <c r="GA502" s="140"/>
      <c r="GB502" s="43"/>
      <c r="GC502" s="35" t="str">
        <f>CONCATENATE(" ",FW502,"元：",FX502)</f>
        <v xml:space="preserve"> 90元：15575</v>
      </c>
      <c r="GD502" s="38"/>
      <c r="GE502" s="44" t="s">
        <v>22</v>
      </c>
      <c r="GF502" s="45" t="s">
        <v>23</v>
      </c>
      <c r="GG502" s="171" t="s">
        <v>116</v>
      </c>
      <c r="GH502" s="172"/>
      <c r="GI502" s="175" t="s">
        <v>24</v>
      </c>
      <c r="GJ502" s="162" t="s">
        <v>25</v>
      </c>
      <c r="GK502" s="164" t="s">
        <v>117</v>
      </c>
    </row>
    <row r="503" spans="153:193" s="35" customFormat="1" ht="17.25" thickBot="1">
      <c r="FA503" s="35" t="s">
        <v>139</v>
      </c>
      <c r="FB503" s="36">
        <f>MAX(FB509,FB502)</f>
        <v>770</v>
      </c>
      <c r="FC503" s="35">
        <f>VLOOKUP($FB$503,salary,2)</f>
        <v>53075</v>
      </c>
      <c r="FD503" s="38" t="s">
        <v>123</v>
      </c>
      <c r="FE503" s="35">
        <f>IF($FB$505+$FC$505=0,$FB$502,MIN(VLOOKUP(VLOOKUP($FB$502,salary,3)+$FB$505+IF(MOD($FC$505,12)&lt;=7,0,1),DC,2),$FB$503))</f>
        <v>770</v>
      </c>
      <c r="FF503" s="35">
        <f>IF($FB$505=0,$FB$502,MIN(VLOOKUP(VLOOKUP($FB$502,salary,3)+$FB$505-IF($FC$505&gt;0,0,1),DC,2),FB503))</f>
        <v>770</v>
      </c>
      <c r="FH503" s="46"/>
      <c r="FI503" s="135"/>
      <c r="FK503" s="35">
        <v>1</v>
      </c>
      <c r="FL503" s="40">
        <f t="shared" ref="FL503:FL542" si="1">FK503-2/12</f>
        <v>0.83333333333333337</v>
      </c>
      <c r="FM503" s="35">
        <v>0</v>
      </c>
      <c r="FN503" s="35">
        <v>1</v>
      </c>
      <c r="FO503" s="40">
        <f t="shared" ref="FO503:FO542" si="2">FM503+10*FN503/12</f>
        <v>0.83333333333333337</v>
      </c>
      <c r="FQ503" s="35">
        <v>1</v>
      </c>
      <c r="FR503" s="35">
        <v>1</v>
      </c>
      <c r="FT503" s="35">
        <v>1</v>
      </c>
      <c r="FU503" s="35">
        <f t="shared" si="0"/>
        <v>1.5</v>
      </c>
      <c r="FW503" s="117">
        <v>100</v>
      </c>
      <c r="FX503" s="118">
        <v>16260</v>
      </c>
      <c r="FY503" s="35">
        <v>2</v>
      </c>
      <c r="FZ503" s="139"/>
      <c r="GA503" s="140"/>
      <c r="GB503" s="43"/>
      <c r="GC503" s="35" t="str">
        <f t="shared" ref="GC503:GC540" si="3">CONCATENATE(FW503,"元：",FX503)</f>
        <v>100元：16260</v>
      </c>
      <c r="GD503" s="38"/>
      <c r="GE503" s="47" t="s">
        <v>26</v>
      </c>
      <c r="GF503" s="48" t="s">
        <v>27</v>
      </c>
      <c r="GG503" s="173"/>
      <c r="GH503" s="174"/>
      <c r="GI503" s="176"/>
      <c r="GJ503" s="163"/>
      <c r="GK503" s="164"/>
    </row>
    <row r="504" spans="153:193" s="35" customFormat="1" ht="18" thickTop="1" thickBot="1">
      <c r="FA504" s="35" t="s">
        <v>119</v>
      </c>
      <c r="FB504" s="36">
        <v>0</v>
      </c>
      <c r="FC504" s="35">
        <v>0</v>
      </c>
      <c r="FD504" s="38" t="s">
        <v>140</v>
      </c>
      <c r="FE504" s="35">
        <f>VLOOKUP($FE$503,salary,2)</f>
        <v>53075</v>
      </c>
      <c r="FH504" s="38"/>
      <c r="FI504" s="135"/>
      <c r="FK504" s="35">
        <v>2</v>
      </c>
      <c r="FL504" s="40">
        <f t="shared" si="1"/>
        <v>1.8333333333333333</v>
      </c>
      <c r="FM504" s="35">
        <v>1</v>
      </c>
      <c r="FN504" s="35">
        <v>1</v>
      </c>
      <c r="FO504" s="40">
        <f t="shared" si="2"/>
        <v>1.8333333333333335</v>
      </c>
      <c r="FQ504" s="35">
        <v>2</v>
      </c>
      <c r="FR504" s="35">
        <v>3</v>
      </c>
      <c r="FT504" s="35">
        <v>2</v>
      </c>
      <c r="FU504" s="35">
        <f t="shared" si="0"/>
        <v>3</v>
      </c>
      <c r="FW504" s="117">
        <v>110</v>
      </c>
      <c r="FX504" s="118">
        <v>16950</v>
      </c>
      <c r="FY504" s="35">
        <v>3</v>
      </c>
      <c r="FZ504" s="139"/>
      <c r="GA504" s="140"/>
      <c r="GB504" s="43"/>
      <c r="GC504" s="35" t="str">
        <f t="shared" si="3"/>
        <v>110元：16950</v>
      </c>
      <c r="GD504" s="38"/>
      <c r="GE504" s="49" t="s">
        <v>28</v>
      </c>
      <c r="GF504" s="50" t="s">
        <v>29</v>
      </c>
      <c r="GG504" s="158" t="s">
        <v>30</v>
      </c>
      <c r="GH504" s="159"/>
      <c r="GI504" s="52" t="s">
        <v>31</v>
      </c>
      <c r="GJ504" s="53">
        <v>17280</v>
      </c>
      <c r="GK504" s="54">
        <f>GJ504*7.5%</f>
        <v>1296</v>
      </c>
    </row>
    <row r="505" spans="153:193" s="35" customFormat="1" ht="17.25" thickBot="1">
      <c r="EW505" s="165" t="str">
        <f>"定期給付：
每年領取金額 = 一次給付金額*0.04。例如：一次給付金額為"&amp;TEXT(FG509,"###,###")&amp;"元，則每年領取金額="&amp;TEXT(FG509,"###,###")&amp;"元*0.04="&amp;TEXT(EY505,"###,###")&amp;"元。
註1：定期給付之計算方式是在設算利率2%，期末領取及領取期間35年等假設下所進行之估算。
註2：本表之試算結果是依所輸入之個人資料及假設計算而得，不代表退休時實際領取金額。
註3：退休金實際領取金額須視實際工作年資、提撥金額、收益率及年金保險商品而定，如需詳細說明，請電洽儲金管理會(02-23962880)。"</f>
        <v>定期給付：
每年領取金額 = 一次給付金額*0.04。例如：一次給付金額為9,687,030元，則每年領取金額=9,687,030元*0.04=484,351元。
註1：定期給付之計算方式是在設算利率2%，期末領取及領取期間35年等假設下所進行之估算。
註2：本表之試算結果是依所輸入之個人資料及假設計算而得，不代表退休時實際領取金額。
註3：退休金實際領取金額須視實際工作年資、提撥金額、收益率及年金保險商品而定，如需詳細說明，請電洽儲金管理會(02-23962880)。</v>
      </c>
      <c r="EX505" s="165"/>
      <c r="EY505" s="146">
        <f>FG509*FE511</f>
        <v>484351.48521425214</v>
      </c>
      <c r="FA505" s="35" t="s">
        <v>122</v>
      </c>
      <c r="FB505" s="36">
        <v>35</v>
      </c>
      <c r="FC505" s="35">
        <v>0</v>
      </c>
      <c r="FD505" s="35" t="s">
        <v>152</v>
      </c>
      <c r="FE505" s="35">
        <v>25</v>
      </c>
      <c r="FF505" s="126"/>
      <c r="FG505" s="127"/>
      <c r="FH505" s="128"/>
      <c r="FI505" s="135"/>
      <c r="FJ505" s="55"/>
      <c r="FK505" s="55">
        <v>3</v>
      </c>
      <c r="FL505" s="56">
        <f t="shared" si="1"/>
        <v>2.8333333333333335</v>
      </c>
      <c r="FM505" s="55">
        <v>2</v>
      </c>
      <c r="FN505" s="55">
        <v>1</v>
      </c>
      <c r="FO505" s="56">
        <f t="shared" si="2"/>
        <v>2.8333333333333335</v>
      </c>
      <c r="FP505" s="55"/>
      <c r="FQ505" s="55">
        <v>3</v>
      </c>
      <c r="FR505" s="55">
        <v>5</v>
      </c>
      <c r="FS505" s="55"/>
      <c r="FT505" s="55">
        <v>3</v>
      </c>
      <c r="FU505" s="55">
        <f t="shared" si="0"/>
        <v>4.5</v>
      </c>
      <c r="FV505" s="55"/>
      <c r="FW505" s="117">
        <v>120</v>
      </c>
      <c r="FX505" s="118">
        <v>17635</v>
      </c>
      <c r="FY505" s="55">
        <v>4</v>
      </c>
      <c r="FZ505" s="139"/>
      <c r="GA505" s="140"/>
      <c r="GB505" s="57"/>
      <c r="GC505" s="55" t="str">
        <f t="shared" si="3"/>
        <v>120元：17635</v>
      </c>
      <c r="GD505" s="58"/>
      <c r="GE505" s="49" t="s">
        <v>32</v>
      </c>
      <c r="GF505" s="50" t="s">
        <v>33</v>
      </c>
      <c r="GG505" s="158" t="s">
        <v>34</v>
      </c>
      <c r="GH505" s="159"/>
      <c r="GI505" s="52" t="s">
        <v>35</v>
      </c>
      <c r="GJ505" s="59">
        <v>17400</v>
      </c>
      <c r="GK505" s="54">
        <f t="shared" ref="GK505:GK525" si="4">GJ505*7.5%</f>
        <v>1305</v>
      </c>
    </row>
    <row r="506" spans="153:193" s="35" customFormat="1" ht="17.25" thickBot="1">
      <c r="EW506" s="166"/>
      <c r="EX506" s="166"/>
      <c r="EY506" s="146">
        <f>FG509*FE511/12</f>
        <v>40362.623767854348</v>
      </c>
      <c r="FA506" s="60" t="s">
        <v>141</v>
      </c>
      <c r="FB506" s="36">
        <v>8</v>
      </c>
      <c r="FC506" s="61">
        <f>FB506/2/100</f>
        <v>0.04</v>
      </c>
      <c r="FD506" s="60" t="s">
        <v>142</v>
      </c>
      <c r="FE506" s="112">
        <v>0.02</v>
      </c>
      <c r="FF506" s="129"/>
      <c r="FG506" s="130"/>
      <c r="FH506" s="131"/>
      <c r="FI506" s="135"/>
      <c r="FJ506" s="55"/>
      <c r="FK506" s="55">
        <v>4</v>
      </c>
      <c r="FL506" s="56">
        <f t="shared" si="1"/>
        <v>3.8333333333333335</v>
      </c>
      <c r="FM506" s="55">
        <v>3</v>
      </c>
      <c r="FN506" s="55">
        <v>1</v>
      </c>
      <c r="FO506" s="56">
        <f t="shared" si="2"/>
        <v>3.8333333333333335</v>
      </c>
      <c r="FP506" s="55"/>
      <c r="FQ506" s="55">
        <v>4</v>
      </c>
      <c r="FR506" s="55">
        <v>7</v>
      </c>
      <c r="FS506" s="55"/>
      <c r="FT506" s="55">
        <v>4</v>
      </c>
      <c r="FU506" s="55">
        <f t="shared" si="0"/>
        <v>6</v>
      </c>
      <c r="FV506" s="55"/>
      <c r="FW506" s="117">
        <v>130</v>
      </c>
      <c r="FX506" s="118">
        <v>18320</v>
      </c>
      <c r="FY506" s="55">
        <v>5</v>
      </c>
      <c r="FZ506" s="139"/>
      <c r="GA506" s="140"/>
      <c r="GB506" s="57"/>
      <c r="GC506" s="55" t="str">
        <f t="shared" si="3"/>
        <v>130元：18320</v>
      </c>
      <c r="GD506" s="58"/>
      <c r="GE506" s="49" t="s">
        <v>36</v>
      </c>
      <c r="GF506" s="62" t="s">
        <v>37</v>
      </c>
      <c r="GG506" s="158" t="s">
        <v>38</v>
      </c>
      <c r="GH506" s="159"/>
      <c r="GI506" s="52" t="s">
        <v>39</v>
      </c>
      <c r="GJ506" s="59">
        <v>18300</v>
      </c>
      <c r="GK506" s="54">
        <f t="shared" si="4"/>
        <v>1372.5</v>
      </c>
    </row>
    <row r="507" spans="153:193" s="35" customFormat="1" ht="17.25" thickBot="1">
      <c r="EW507" s="166"/>
      <c r="EX507" s="166"/>
      <c r="FA507" s="60" t="s">
        <v>2</v>
      </c>
      <c r="FB507" s="63">
        <v>0.12</v>
      </c>
      <c r="FD507" s="35" t="s">
        <v>16</v>
      </c>
      <c r="FE507" s="35">
        <f>VLOOKUP($FB$502,salary,3)</f>
        <v>21</v>
      </c>
      <c r="FF507" s="132"/>
      <c r="FG507" s="127"/>
      <c r="FH507" s="133"/>
      <c r="FI507" s="134"/>
      <c r="FJ507" s="64"/>
      <c r="FK507" s="32">
        <v>5</v>
      </c>
      <c r="FL507" s="65">
        <f t="shared" si="1"/>
        <v>4.833333333333333</v>
      </c>
      <c r="FM507" s="32">
        <v>4</v>
      </c>
      <c r="FN507" s="32">
        <v>1</v>
      </c>
      <c r="FO507" s="65">
        <f t="shared" si="2"/>
        <v>4.833333333333333</v>
      </c>
      <c r="FP507" s="32"/>
      <c r="FQ507" s="32">
        <v>5</v>
      </c>
      <c r="FR507" s="32">
        <v>9</v>
      </c>
      <c r="FS507" s="32"/>
      <c r="FT507" s="32">
        <v>5</v>
      </c>
      <c r="FU507" s="32">
        <f t="shared" si="0"/>
        <v>7.5</v>
      </c>
      <c r="FV507" s="32"/>
      <c r="FW507" s="117">
        <v>140</v>
      </c>
      <c r="FX507" s="118">
        <v>19005</v>
      </c>
      <c r="FY507" s="32">
        <v>6</v>
      </c>
      <c r="FZ507" s="139"/>
      <c r="GA507" s="140"/>
      <c r="GB507" s="68"/>
      <c r="GC507" s="32" t="str">
        <f t="shared" si="3"/>
        <v>140元：19005</v>
      </c>
      <c r="GD507" s="69"/>
      <c r="GE507" s="49" t="s">
        <v>40</v>
      </c>
      <c r="GF507" s="62" t="s">
        <v>41</v>
      </c>
      <c r="GG507" s="158" t="s">
        <v>42</v>
      </c>
      <c r="GH507" s="159"/>
      <c r="GI507" s="52" t="s">
        <v>43</v>
      </c>
      <c r="GJ507" s="59">
        <v>19200</v>
      </c>
      <c r="GK507" s="54">
        <f t="shared" si="4"/>
        <v>1440</v>
      </c>
    </row>
    <row r="508" spans="153:193" s="35" customFormat="1" ht="17.25" thickBot="1">
      <c r="EW508" s="166"/>
      <c r="EX508" s="166"/>
      <c r="FA508" s="60" t="s">
        <v>7</v>
      </c>
      <c r="FB508" s="61">
        <v>0</v>
      </c>
      <c r="FD508" s="35" t="s">
        <v>17</v>
      </c>
      <c r="FE508" s="35">
        <f>VLOOKUP($FB$502,salary,3)+$FB$505-1</f>
        <v>55</v>
      </c>
      <c r="FF508" s="70" t="s">
        <v>11</v>
      </c>
      <c r="FG508" s="71" t="s">
        <v>143</v>
      </c>
      <c r="FH508" s="69"/>
      <c r="FI508" s="69"/>
      <c r="FJ508" s="72"/>
      <c r="FK508" s="55">
        <v>6</v>
      </c>
      <c r="FL508" s="56">
        <f t="shared" si="1"/>
        <v>5.833333333333333</v>
      </c>
      <c r="FM508" s="55">
        <v>5</v>
      </c>
      <c r="FN508" s="55">
        <v>1</v>
      </c>
      <c r="FO508" s="56">
        <f t="shared" si="2"/>
        <v>5.833333333333333</v>
      </c>
      <c r="FP508" s="55"/>
      <c r="FQ508" s="55">
        <v>6</v>
      </c>
      <c r="FR508" s="55">
        <v>11</v>
      </c>
      <c r="FS508" s="55"/>
      <c r="FT508" s="55">
        <v>6</v>
      </c>
      <c r="FU508" s="55">
        <f t="shared" si="0"/>
        <v>9</v>
      </c>
      <c r="FV508" s="55"/>
      <c r="FW508" s="117">
        <v>150</v>
      </c>
      <c r="FX508" s="118">
        <v>19690</v>
      </c>
      <c r="FY508" s="55">
        <v>7</v>
      </c>
      <c r="FZ508" s="139"/>
      <c r="GA508" s="140"/>
      <c r="GB508" s="57"/>
      <c r="GC508" s="55" t="str">
        <f t="shared" si="3"/>
        <v>150元：19690</v>
      </c>
      <c r="GD508" s="58"/>
      <c r="GE508" s="49" t="s">
        <v>44</v>
      </c>
      <c r="GF508" s="62" t="s">
        <v>45</v>
      </c>
      <c r="GG508" s="158" t="s">
        <v>46</v>
      </c>
      <c r="GH508" s="159"/>
      <c r="GI508" s="52" t="s">
        <v>47</v>
      </c>
      <c r="GJ508" s="59">
        <v>20100</v>
      </c>
      <c r="GK508" s="54">
        <f t="shared" si="4"/>
        <v>1507.5</v>
      </c>
    </row>
    <row r="509" spans="153:193" s="35" customFormat="1" ht="17.25" thickBot="1">
      <c r="EW509" s="166"/>
      <c r="EX509" s="166"/>
      <c r="FA509" s="43" t="s">
        <v>144</v>
      </c>
      <c r="FB509" s="35">
        <f>VALUE(LEFT(FB510,3))</f>
        <v>770</v>
      </c>
      <c r="FE509" s="54"/>
      <c r="FF509" s="73" t="s">
        <v>12</v>
      </c>
      <c r="FG509" s="71">
        <f>SUM(FG510:FG511)</f>
        <v>9687029.7042850424</v>
      </c>
      <c r="FH509" s="69"/>
      <c r="FI509" s="69" t="s">
        <v>14</v>
      </c>
      <c r="FJ509" s="74"/>
      <c r="FK509" s="32">
        <v>7</v>
      </c>
      <c r="FL509" s="65">
        <f t="shared" si="1"/>
        <v>6.833333333333333</v>
      </c>
      <c r="FM509" s="32">
        <v>6</v>
      </c>
      <c r="FN509" s="32">
        <v>1</v>
      </c>
      <c r="FO509" s="65">
        <f t="shared" si="2"/>
        <v>6.833333333333333</v>
      </c>
      <c r="FP509" s="32"/>
      <c r="FQ509" s="32">
        <v>7</v>
      </c>
      <c r="FR509" s="32">
        <v>13</v>
      </c>
      <c r="FS509" s="32"/>
      <c r="FT509" s="32">
        <v>7</v>
      </c>
      <c r="FU509" s="32">
        <f t="shared" si="0"/>
        <v>10.5</v>
      </c>
      <c r="FV509" s="32"/>
      <c r="FW509" s="117">
        <v>160</v>
      </c>
      <c r="FX509" s="118">
        <v>20380</v>
      </c>
      <c r="FY509" s="32">
        <v>8</v>
      </c>
      <c r="FZ509" s="139"/>
      <c r="GA509" s="140"/>
      <c r="GB509" s="68"/>
      <c r="GC509" s="32" t="str">
        <f t="shared" si="3"/>
        <v>160元：20380</v>
      </c>
      <c r="GD509" s="69"/>
      <c r="GE509" s="49" t="s">
        <v>48</v>
      </c>
      <c r="GF509" s="62" t="s">
        <v>49</v>
      </c>
      <c r="GG509" s="158" t="s">
        <v>50</v>
      </c>
      <c r="GH509" s="159"/>
      <c r="GI509" s="52" t="s">
        <v>51</v>
      </c>
      <c r="GJ509" s="59">
        <v>21000</v>
      </c>
      <c r="GK509" s="54">
        <f t="shared" si="4"/>
        <v>1575</v>
      </c>
    </row>
    <row r="510" spans="153:193" s="35" customFormat="1" ht="17.25" thickBot="1">
      <c r="EW510" s="166"/>
      <c r="EX510" s="166"/>
      <c r="FB510" s="35" t="s">
        <v>156</v>
      </c>
      <c r="FE510" s="75"/>
      <c r="FF510" s="76" t="s">
        <v>145</v>
      </c>
      <c r="FG510" s="77">
        <f>($FE$504+930)*(VLOOKUP($FB$504,old_service,2)+ROUNDUP($FC$504/6,0))</f>
        <v>0</v>
      </c>
      <c r="FH510" s="78">
        <f>IF($FB$505=0,0,VLOOKUP($FE$508,DC,8)-VLOOKUP(FE507-1,DC,8))+VLOOKUP($FE$508+1,DC,5)/12*$FC$505*$FE$502</f>
        <v>1679685.8399999999</v>
      </c>
      <c r="FI510" s="69" t="s">
        <v>146</v>
      </c>
      <c r="FJ510" s="74"/>
      <c r="FK510" s="32">
        <v>8</v>
      </c>
      <c r="FL510" s="65">
        <f t="shared" si="1"/>
        <v>7.833333333333333</v>
      </c>
      <c r="FM510" s="32">
        <v>7</v>
      </c>
      <c r="FN510" s="32">
        <v>1</v>
      </c>
      <c r="FO510" s="65">
        <f t="shared" si="2"/>
        <v>7.833333333333333</v>
      </c>
      <c r="FP510" s="32"/>
      <c r="FQ510" s="32">
        <v>8</v>
      </c>
      <c r="FR510" s="32">
        <v>15</v>
      </c>
      <c r="FS510" s="32"/>
      <c r="FT510" s="32">
        <v>8</v>
      </c>
      <c r="FU510" s="32">
        <f t="shared" si="0"/>
        <v>12</v>
      </c>
      <c r="FV510" s="32"/>
      <c r="FW510" s="117">
        <v>170</v>
      </c>
      <c r="FX510" s="118">
        <v>21065</v>
      </c>
      <c r="FY510" s="32">
        <v>9</v>
      </c>
      <c r="FZ510" s="139"/>
      <c r="GA510" s="140"/>
      <c r="GB510" s="68"/>
      <c r="GC510" s="32" t="str">
        <f t="shared" si="3"/>
        <v>170元：21065</v>
      </c>
      <c r="GD510" s="69"/>
      <c r="GE510" s="49" t="s">
        <v>52</v>
      </c>
      <c r="GF510" s="62" t="s">
        <v>53</v>
      </c>
      <c r="GG510" s="158" t="s">
        <v>54</v>
      </c>
      <c r="GH510" s="159"/>
      <c r="GI510" s="52" t="s">
        <v>55</v>
      </c>
      <c r="GJ510" s="59">
        <v>21900</v>
      </c>
      <c r="GK510" s="54">
        <f t="shared" si="4"/>
        <v>1642.5</v>
      </c>
    </row>
    <row r="511" spans="153:193" s="35" customFormat="1" ht="17.25" thickBot="1">
      <c r="EW511" s="166"/>
      <c r="EX511" s="166"/>
      <c r="FE511" s="79">
        <f>ROUND(PMT(FE506,FE505,-1,,1),2)</f>
        <v>0.05</v>
      </c>
      <c r="FF511" s="76" t="s">
        <v>147</v>
      </c>
      <c r="FG511" s="77">
        <f>IF($FB$505=0,0,VLOOKUP($FE$508,DC,7)-VLOOKUP($FE$507-1,DC,7)*(1+$FC$506)^$FB$505)+VLOOKUP($FE$508+1,DC,5)/12*$FC$505</f>
        <v>9687029.7042850424</v>
      </c>
      <c r="FH511" s="69">
        <f>FH510/35*32.5</f>
        <v>1559708.28</v>
      </c>
      <c r="FI511" s="69" t="s">
        <v>148</v>
      </c>
      <c r="FJ511" s="74"/>
      <c r="FK511" s="32">
        <v>9</v>
      </c>
      <c r="FL511" s="65">
        <f t="shared" si="1"/>
        <v>8.8333333333333339</v>
      </c>
      <c r="FM511" s="32">
        <v>8</v>
      </c>
      <c r="FN511" s="32">
        <v>1</v>
      </c>
      <c r="FO511" s="65">
        <f t="shared" si="2"/>
        <v>8.8333333333333339</v>
      </c>
      <c r="FP511" s="32"/>
      <c r="FQ511" s="32">
        <v>9</v>
      </c>
      <c r="FR511" s="32">
        <v>17</v>
      </c>
      <c r="FS511" s="32"/>
      <c r="FT511" s="32">
        <v>9</v>
      </c>
      <c r="FU511" s="32">
        <f t="shared" si="0"/>
        <v>13.5</v>
      </c>
      <c r="FV511" s="32"/>
      <c r="FW511" s="117">
        <v>180</v>
      </c>
      <c r="FX511" s="118">
        <v>21750</v>
      </c>
      <c r="FY511" s="32">
        <v>10</v>
      </c>
      <c r="FZ511" s="139"/>
      <c r="GA511" s="140"/>
      <c r="GB511" s="68"/>
      <c r="GC511" s="32" t="str">
        <f t="shared" si="3"/>
        <v>180元：21750</v>
      </c>
      <c r="GD511" s="69"/>
      <c r="GE511" s="49" t="s">
        <v>56</v>
      </c>
      <c r="GF511" s="62" t="s">
        <v>57</v>
      </c>
      <c r="GG511" s="158" t="s">
        <v>58</v>
      </c>
      <c r="GH511" s="159"/>
      <c r="GI511" s="52" t="s">
        <v>59</v>
      </c>
      <c r="GJ511" s="59">
        <v>22800</v>
      </c>
      <c r="GK511" s="54">
        <f t="shared" si="4"/>
        <v>1710</v>
      </c>
    </row>
    <row r="512" spans="153:193" s="35" customFormat="1" ht="17.25" thickBot="1">
      <c r="EW512" s="166"/>
      <c r="EX512" s="166"/>
      <c r="FD512" s="35" t="s">
        <v>18</v>
      </c>
      <c r="FE512" s="79">
        <f>PMT($FE$506/12,$FE$505*12,-1,,1)</f>
        <v>4.2314909016047259E-3</v>
      </c>
      <c r="FF512" s="80" t="s">
        <v>13</v>
      </c>
      <c r="FG512" s="80"/>
      <c r="FH512" s="69">
        <f>FH510/35*32.5</f>
        <v>1559708.28</v>
      </c>
      <c r="FI512" s="69" t="s">
        <v>149</v>
      </c>
      <c r="FJ512" s="74"/>
      <c r="FK512" s="32">
        <v>10</v>
      </c>
      <c r="FL512" s="65">
        <f t="shared" si="1"/>
        <v>9.8333333333333339</v>
      </c>
      <c r="FM512" s="32">
        <v>9</v>
      </c>
      <c r="FN512" s="32">
        <v>1</v>
      </c>
      <c r="FO512" s="65">
        <f t="shared" si="2"/>
        <v>9.8333333333333339</v>
      </c>
      <c r="FP512" s="32"/>
      <c r="FQ512" s="32">
        <v>10</v>
      </c>
      <c r="FR512" s="32">
        <v>19</v>
      </c>
      <c r="FS512" s="32"/>
      <c r="FT512" s="32">
        <v>10</v>
      </c>
      <c r="FU512" s="32">
        <f t="shared" si="0"/>
        <v>15</v>
      </c>
      <c r="FV512" s="32"/>
      <c r="FW512" s="117">
        <v>190</v>
      </c>
      <c r="FX512" s="118">
        <v>22435</v>
      </c>
      <c r="FY512" s="32">
        <v>11</v>
      </c>
      <c r="FZ512" s="139"/>
      <c r="GA512" s="140"/>
      <c r="GB512" s="68"/>
      <c r="GC512" s="32" t="str">
        <f t="shared" si="3"/>
        <v>190元：22435</v>
      </c>
      <c r="GD512" s="69"/>
      <c r="GE512" s="49" t="s">
        <v>60</v>
      </c>
      <c r="GF512" s="62" t="s">
        <v>61</v>
      </c>
      <c r="GG512" s="158" t="s">
        <v>62</v>
      </c>
      <c r="GH512" s="159"/>
      <c r="GI512" s="52" t="s">
        <v>63</v>
      </c>
      <c r="GJ512" s="59">
        <v>24000</v>
      </c>
      <c r="GK512" s="54">
        <f t="shared" si="4"/>
        <v>1800</v>
      </c>
    </row>
    <row r="513" spans="155:193" s="35" customFormat="1" ht="17.25" thickBot="1">
      <c r="FD513" s="36" t="s">
        <v>118</v>
      </c>
      <c r="FE513" s="81">
        <f>$FG$509*0.005288</f>
        <v>51225.013076259303</v>
      </c>
      <c r="FF513" s="73" t="s">
        <v>150</v>
      </c>
      <c r="FG513" s="82">
        <f>IF($FB$504+$FC$504/12+$FB$505+$FC$505/12&lt;15,"(未滿15年)",$FE$513)</f>
        <v>51225.013076259303</v>
      </c>
      <c r="FH513" s="69">
        <f>MAX(FG511-SUM(FH510:FH512),0)</f>
        <v>4887927.304285042</v>
      </c>
      <c r="FI513" s="69" t="s">
        <v>151</v>
      </c>
      <c r="FJ513" s="74"/>
      <c r="FK513" s="32">
        <v>11</v>
      </c>
      <c r="FL513" s="65">
        <f t="shared" si="1"/>
        <v>10.833333333333334</v>
      </c>
      <c r="FM513" s="32">
        <v>10</v>
      </c>
      <c r="FN513" s="32">
        <v>2</v>
      </c>
      <c r="FO513" s="65">
        <f t="shared" si="2"/>
        <v>11.666666666666666</v>
      </c>
      <c r="FP513" s="32"/>
      <c r="FQ513" s="32">
        <v>11</v>
      </c>
      <c r="FR513" s="32">
        <v>21</v>
      </c>
      <c r="FS513" s="32"/>
      <c r="FT513" s="32">
        <v>11</v>
      </c>
      <c r="FU513" s="32">
        <f t="shared" si="0"/>
        <v>16.5</v>
      </c>
      <c r="FV513" s="32"/>
      <c r="FW513" s="117">
        <v>200</v>
      </c>
      <c r="FX513" s="118">
        <v>23120</v>
      </c>
      <c r="FY513" s="32">
        <v>12</v>
      </c>
      <c r="FZ513" s="139"/>
      <c r="GA513" s="140"/>
      <c r="GB513" s="68"/>
      <c r="GC513" s="32" t="str">
        <f t="shared" si="3"/>
        <v>200元：23120</v>
      </c>
      <c r="GD513" s="69"/>
      <c r="GE513" s="49" t="s">
        <v>64</v>
      </c>
      <c r="GF513" s="62" t="s">
        <v>65</v>
      </c>
      <c r="GG513" s="158" t="s">
        <v>66</v>
      </c>
      <c r="GH513" s="159"/>
      <c r="GI513" s="52" t="s">
        <v>67</v>
      </c>
      <c r="GJ513" s="59">
        <v>25200</v>
      </c>
      <c r="GK513" s="54">
        <f t="shared" si="4"/>
        <v>1890</v>
      </c>
    </row>
    <row r="514" spans="155:193" s="35" customFormat="1" ht="17.25" thickBot="1">
      <c r="FF514" s="83" t="s">
        <v>153</v>
      </c>
      <c r="FG514" s="84"/>
      <c r="FH514" s="85"/>
      <c r="FI514" s="85"/>
      <c r="FJ514" s="86"/>
      <c r="FK514" s="87">
        <v>12</v>
      </c>
      <c r="FL514" s="88">
        <f t="shared" si="1"/>
        <v>11.833333333333334</v>
      </c>
      <c r="FM514" s="87">
        <v>12</v>
      </c>
      <c r="FN514" s="87">
        <v>2</v>
      </c>
      <c r="FO514" s="88">
        <f t="shared" si="2"/>
        <v>13.666666666666666</v>
      </c>
      <c r="FP514" s="87"/>
      <c r="FQ514" s="87">
        <v>12</v>
      </c>
      <c r="FR514" s="87">
        <v>23</v>
      </c>
      <c r="FS514" s="87"/>
      <c r="FT514" s="87">
        <v>12</v>
      </c>
      <c r="FU514" s="87">
        <f t="shared" si="0"/>
        <v>18</v>
      </c>
      <c r="FV514" s="87"/>
      <c r="FW514" s="117">
        <v>210</v>
      </c>
      <c r="FX514" s="118">
        <v>23810</v>
      </c>
      <c r="FY514" s="87">
        <v>13</v>
      </c>
      <c r="FZ514" s="139"/>
      <c r="GA514" s="140"/>
      <c r="GB514" s="89"/>
      <c r="GC514" s="87" t="str">
        <f t="shared" si="3"/>
        <v>210元：23810</v>
      </c>
      <c r="GD514" s="85"/>
      <c r="GE514" s="49" t="s">
        <v>68</v>
      </c>
      <c r="GF514" s="62" t="s">
        <v>69</v>
      </c>
      <c r="GG514" s="158" t="s">
        <v>70</v>
      </c>
      <c r="GH514" s="159"/>
      <c r="GI514" s="52" t="s">
        <v>71</v>
      </c>
      <c r="GJ514" s="59">
        <v>26400</v>
      </c>
      <c r="GK514" s="54">
        <f t="shared" si="4"/>
        <v>1980</v>
      </c>
    </row>
    <row r="515" spans="155:193" s="35" customFormat="1" ht="17.25" thickBot="1">
      <c r="FF515" s="83" t="s">
        <v>19</v>
      </c>
      <c r="FG515" s="84"/>
      <c r="FH515" s="87"/>
      <c r="FI515" s="85"/>
      <c r="FJ515" s="86"/>
      <c r="FK515" s="87">
        <v>13</v>
      </c>
      <c r="FL515" s="88">
        <f t="shared" si="1"/>
        <v>12.833333333333334</v>
      </c>
      <c r="FM515" s="87">
        <v>14</v>
      </c>
      <c r="FN515" s="87">
        <v>2</v>
      </c>
      <c r="FO515" s="88">
        <f t="shared" si="2"/>
        <v>15.666666666666666</v>
      </c>
      <c r="FP515" s="87"/>
      <c r="FQ515" s="87">
        <v>13</v>
      </c>
      <c r="FR515" s="87">
        <v>25</v>
      </c>
      <c r="FS515" s="87"/>
      <c r="FT515" s="87">
        <v>13</v>
      </c>
      <c r="FU515" s="87">
        <f t="shared" si="0"/>
        <v>19.5</v>
      </c>
      <c r="FV515" s="87"/>
      <c r="FW515" s="117">
        <v>220</v>
      </c>
      <c r="FX515" s="118">
        <v>24495</v>
      </c>
      <c r="FY515" s="87">
        <v>14</v>
      </c>
      <c r="FZ515" s="139"/>
      <c r="GA515" s="140"/>
      <c r="GB515" s="89"/>
      <c r="GC515" s="87" t="str">
        <f t="shared" si="3"/>
        <v>220元：24495</v>
      </c>
      <c r="GD515" s="85"/>
      <c r="GE515" s="49" t="s">
        <v>72</v>
      </c>
      <c r="GF515" s="62" t="s">
        <v>73</v>
      </c>
      <c r="GG515" s="158" t="s">
        <v>74</v>
      </c>
      <c r="GH515" s="159"/>
      <c r="GI515" s="52" t="s">
        <v>75</v>
      </c>
      <c r="GJ515" s="59">
        <v>27600</v>
      </c>
      <c r="GK515" s="54">
        <f t="shared" si="4"/>
        <v>2070</v>
      </c>
    </row>
    <row r="516" spans="155:193" s="35" customFormat="1" ht="17.25" thickBot="1">
      <c r="FA516" s="90" t="s">
        <v>15</v>
      </c>
      <c r="FB516" s="91" t="s">
        <v>0</v>
      </c>
      <c r="FC516" s="92" t="s">
        <v>1</v>
      </c>
      <c r="FD516" s="93" t="s">
        <v>3</v>
      </c>
      <c r="FE516" s="94" t="s">
        <v>4</v>
      </c>
      <c r="FF516" s="94" t="s">
        <v>5</v>
      </c>
      <c r="FG516" s="94" t="s">
        <v>8</v>
      </c>
      <c r="FH516" s="95" t="s">
        <v>9</v>
      </c>
      <c r="FI516" s="58"/>
      <c r="FJ516" s="96"/>
      <c r="FK516" s="55">
        <v>14</v>
      </c>
      <c r="FL516" s="56">
        <f t="shared" si="1"/>
        <v>13.833333333333334</v>
      </c>
      <c r="FM516" s="55">
        <v>16</v>
      </c>
      <c r="FN516" s="55">
        <v>2</v>
      </c>
      <c r="FO516" s="56">
        <f t="shared" si="2"/>
        <v>17.666666666666668</v>
      </c>
      <c r="FP516" s="55"/>
      <c r="FQ516" s="55">
        <v>14</v>
      </c>
      <c r="FR516" s="55">
        <v>27</v>
      </c>
      <c r="FS516" s="55"/>
      <c r="FT516" s="55">
        <v>14</v>
      </c>
      <c r="FU516" s="55">
        <f t="shared" si="0"/>
        <v>21</v>
      </c>
      <c r="FV516" s="55"/>
      <c r="FW516" s="117">
        <v>230</v>
      </c>
      <c r="FX516" s="118">
        <v>25180</v>
      </c>
      <c r="FY516" s="55">
        <v>15</v>
      </c>
      <c r="FZ516" s="139"/>
      <c r="GA516" s="140"/>
      <c r="GB516" s="57"/>
      <c r="GC516" s="55" t="str">
        <f t="shared" si="3"/>
        <v>230元：25180</v>
      </c>
      <c r="GD516" s="58"/>
      <c r="GE516" s="49" t="s">
        <v>76</v>
      </c>
      <c r="GF516" s="62" t="s">
        <v>77</v>
      </c>
      <c r="GG516" s="158" t="s">
        <v>78</v>
      </c>
      <c r="GH516" s="159"/>
      <c r="GI516" s="52" t="s">
        <v>79</v>
      </c>
      <c r="GJ516" s="59">
        <v>28800</v>
      </c>
      <c r="GK516" s="54">
        <f t="shared" si="4"/>
        <v>2160</v>
      </c>
    </row>
    <row r="517" spans="155:193" s="35" customFormat="1" ht="17.25" thickBot="1">
      <c r="FA517" s="36">
        <v>0</v>
      </c>
      <c r="FB517" s="97">
        <v>0</v>
      </c>
      <c r="FC517" s="98">
        <v>0</v>
      </c>
      <c r="FD517" s="94">
        <v>0</v>
      </c>
      <c r="FE517" s="94">
        <v>0</v>
      </c>
      <c r="FF517" s="94">
        <v>0</v>
      </c>
      <c r="FG517" s="94">
        <v>0</v>
      </c>
      <c r="FH517" s="95">
        <v>0</v>
      </c>
      <c r="FI517" s="58"/>
      <c r="FJ517" s="96"/>
      <c r="FK517" s="55">
        <v>15</v>
      </c>
      <c r="FL517" s="56">
        <f t="shared" si="1"/>
        <v>14.833333333333334</v>
      </c>
      <c r="FM517" s="55">
        <v>18</v>
      </c>
      <c r="FN517" s="55">
        <v>2</v>
      </c>
      <c r="FO517" s="56">
        <f t="shared" si="2"/>
        <v>19.666666666666668</v>
      </c>
      <c r="FP517" s="55"/>
      <c r="FQ517" s="55">
        <v>15</v>
      </c>
      <c r="FR517" s="55">
        <v>31</v>
      </c>
      <c r="FS517" s="55"/>
      <c r="FT517" s="55">
        <v>15</v>
      </c>
      <c r="FU517" s="55">
        <f t="shared" ref="FU517:FU536" si="5">FT517*1.5</f>
        <v>22.5</v>
      </c>
      <c r="FV517" s="55"/>
      <c r="FW517" s="117">
        <v>245</v>
      </c>
      <c r="FX517" s="118">
        <v>26210</v>
      </c>
      <c r="FY517" s="55">
        <v>16</v>
      </c>
      <c r="FZ517" s="139"/>
      <c r="GA517" s="140"/>
      <c r="GB517" s="57"/>
      <c r="GC517" s="55" t="str">
        <f t="shared" si="3"/>
        <v>245元：26210</v>
      </c>
      <c r="GD517" s="58"/>
      <c r="GE517" s="49" t="s">
        <v>80</v>
      </c>
      <c r="GF517" s="62" t="s">
        <v>81</v>
      </c>
      <c r="GG517" s="158" t="s">
        <v>82</v>
      </c>
      <c r="GH517" s="159"/>
      <c r="GI517" s="52" t="s">
        <v>83</v>
      </c>
      <c r="GJ517" s="59">
        <v>30300</v>
      </c>
      <c r="GK517" s="54">
        <f t="shared" si="4"/>
        <v>2272.5</v>
      </c>
    </row>
    <row r="518" spans="155:193" s="35" customFormat="1" ht="17.25" thickBot="1">
      <c r="EY518" s="121"/>
      <c r="EZ518" s="122"/>
      <c r="FA518" s="35">
        <v>1</v>
      </c>
      <c r="FB518" s="124">
        <v>90</v>
      </c>
      <c r="FC518" s="125">
        <f>IF(FB518&gt;$FB$503,FC516,VLOOKUP(FB518,salary,2))</f>
        <v>15575</v>
      </c>
      <c r="FD518" s="99">
        <f t="shared" ref="FD518:FD549" si="6">FC518*(1+$FB$508)^(FA518-1)</f>
        <v>15575</v>
      </c>
      <c r="FE518" s="38">
        <f t="shared" ref="FE518:FE549" si="7">FD518*2*$FB$507*12</f>
        <v>44856</v>
      </c>
      <c r="FF518" s="38">
        <f t="shared" ref="FF518:FF549" si="8">FV($FC$506/12,12,-FE518/12,,0)-FE518</f>
        <v>831.56623025341833</v>
      </c>
      <c r="FG518" s="38">
        <f>FE518+FF518</f>
        <v>45687.566230253418</v>
      </c>
      <c r="FH518" s="38">
        <f>SUM(FE$518:FE518)*$FE$502</f>
        <v>15699.599999999999</v>
      </c>
      <c r="FI518" s="38"/>
      <c r="FJ518" s="100"/>
      <c r="FK518" s="35">
        <v>16</v>
      </c>
      <c r="FL518" s="40">
        <f t="shared" si="1"/>
        <v>15.833333333333334</v>
      </c>
      <c r="FM518" s="35">
        <v>20</v>
      </c>
      <c r="FN518" s="35">
        <v>3</v>
      </c>
      <c r="FO518" s="40">
        <f t="shared" si="2"/>
        <v>22.5</v>
      </c>
      <c r="FQ518" s="35">
        <v>16</v>
      </c>
      <c r="FR518" s="35">
        <v>33</v>
      </c>
      <c r="FT518" s="35">
        <v>16</v>
      </c>
      <c r="FU518" s="35">
        <f t="shared" si="5"/>
        <v>24</v>
      </c>
      <c r="FW518" s="117">
        <v>260</v>
      </c>
      <c r="FX518" s="118">
        <v>27240</v>
      </c>
      <c r="FY518" s="35">
        <v>17</v>
      </c>
      <c r="FZ518" s="139"/>
      <c r="GA518" s="140"/>
      <c r="GB518" s="43"/>
      <c r="GC518" s="35" t="str">
        <f t="shared" si="3"/>
        <v>260元：27240</v>
      </c>
      <c r="GD518" s="38"/>
      <c r="GE518" s="49" t="s">
        <v>84</v>
      </c>
      <c r="GF518" s="62" t="s">
        <v>85</v>
      </c>
      <c r="GG518" s="158" t="s">
        <v>86</v>
      </c>
      <c r="GH518" s="159"/>
      <c r="GI518" s="52" t="s">
        <v>87</v>
      </c>
      <c r="GJ518" s="59">
        <v>31800</v>
      </c>
      <c r="GK518" s="54">
        <f t="shared" si="4"/>
        <v>2385</v>
      </c>
    </row>
    <row r="519" spans="155:193" s="35" customFormat="1" ht="17.25" thickBot="1">
      <c r="EY519" s="121"/>
      <c r="EZ519" s="122"/>
      <c r="FA519" s="35">
        <v>2</v>
      </c>
      <c r="FB519" s="124">
        <v>100</v>
      </c>
      <c r="FC519" s="125">
        <f t="shared" ref="FC519:FC550" si="9">IF(FB519&gt;$FB$503,FC518,VLOOKUP(FB519,salary,2))</f>
        <v>16260</v>
      </c>
      <c r="FD519" s="99">
        <f t="shared" si="6"/>
        <v>16260</v>
      </c>
      <c r="FE519" s="38">
        <f t="shared" si="7"/>
        <v>46828.799999999996</v>
      </c>
      <c r="FF519" s="38">
        <f t="shared" si="8"/>
        <v>868.13912705750408</v>
      </c>
      <c r="FG519" s="38">
        <f t="shared" ref="FG519:FG550" si="10">FG518*(1+$FC$506)+FE519+FF519</f>
        <v>95212.008006521064</v>
      </c>
      <c r="FH519" s="38">
        <f>SUM(FE$518:FE519)*$FE$502</f>
        <v>32089.679999999993</v>
      </c>
      <c r="FI519" s="38"/>
      <c r="FJ519" s="100"/>
      <c r="FK519" s="35">
        <v>17</v>
      </c>
      <c r="FL519" s="40">
        <f t="shared" si="1"/>
        <v>16.833333333333332</v>
      </c>
      <c r="FM519" s="35">
        <v>23</v>
      </c>
      <c r="FN519" s="35">
        <v>3</v>
      </c>
      <c r="FO519" s="40">
        <f t="shared" si="2"/>
        <v>25.5</v>
      </c>
      <c r="FQ519" s="35">
        <v>17</v>
      </c>
      <c r="FR519" s="35">
        <v>35</v>
      </c>
      <c r="FT519" s="35">
        <v>17</v>
      </c>
      <c r="FU519" s="35">
        <f t="shared" si="5"/>
        <v>25.5</v>
      </c>
      <c r="FW519" s="117">
        <v>275</v>
      </c>
      <c r="FX519" s="118">
        <v>28265</v>
      </c>
      <c r="FY519" s="35">
        <v>18</v>
      </c>
      <c r="FZ519" s="139"/>
      <c r="GA519" s="140"/>
      <c r="GB519" s="43"/>
      <c r="GC519" s="35" t="str">
        <f t="shared" si="3"/>
        <v>275元：28265</v>
      </c>
      <c r="GD519" s="38"/>
      <c r="GE519" s="49" t="s">
        <v>88</v>
      </c>
      <c r="GF519" s="62" t="s">
        <v>89</v>
      </c>
      <c r="GG519" s="158" t="s">
        <v>90</v>
      </c>
      <c r="GH519" s="159"/>
      <c r="GI519" s="52" t="s">
        <v>91</v>
      </c>
      <c r="GJ519" s="59">
        <v>33300</v>
      </c>
      <c r="GK519" s="54">
        <f t="shared" si="4"/>
        <v>2497.5</v>
      </c>
    </row>
    <row r="520" spans="155:193" s="35" customFormat="1" ht="17.25" thickBot="1">
      <c r="EY520" s="121"/>
      <c r="EZ520" s="122"/>
      <c r="FA520" s="35">
        <v>3</v>
      </c>
      <c r="FB520" s="124">
        <v>110</v>
      </c>
      <c r="FC520" s="125">
        <f t="shared" si="9"/>
        <v>16950</v>
      </c>
      <c r="FD520" s="99">
        <f t="shared" si="6"/>
        <v>16950</v>
      </c>
      <c r="FE520" s="38">
        <f t="shared" si="7"/>
        <v>48816</v>
      </c>
      <c r="FF520" s="38">
        <f t="shared" si="8"/>
        <v>904.97897931271291</v>
      </c>
      <c r="FG520" s="38">
        <f t="shared" si="10"/>
        <v>148741.46730609459</v>
      </c>
      <c r="FH520" s="38">
        <f>SUM(FE$518:FE520)*$FE$502</f>
        <v>49175.279999999992</v>
      </c>
      <c r="FI520" s="38"/>
      <c r="FJ520" s="100"/>
      <c r="FK520" s="35">
        <v>18</v>
      </c>
      <c r="FL520" s="40">
        <f t="shared" si="1"/>
        <v>17.833333333333332</v>
      </c>
      <c r="FM520" s="35">
        <v>26</v>
      </c>
      <c r="FN520" s="35">
        <v>3</v>
      </c>
      <c r="FO520" s="40">
        <f t="shared" si="2"/>
        <v>28.5</v>
      </c>
      <c r="FQ520" s="35">
        <v>18</v>
      </c>
      <c r="FR520" s="35">
        <v>37</v>
      </c>
      <c r="FT520" s="35">
        <v>18</v>
      </c>
      <c r="FU520" s="35">
        <f t="shared" si="5"/>
        <v>27</v>
      </c>
      <c r="FW520" s="117">
        <v>290</v>
      </c>
      <c r="FX520" s="118">
        <v>29295</v>
      </c>
      <c r="FY520" s="35">
        <v>19</v>
      </c>
      <c r="FZ520" s="139"/>
      <c r="GA520" s="140"/>
      <c r="GB520" s="43"/>
      <c r="GC520" s="35" t="str">
        <f t="shared" si="3"/>
        <v>290元：29295</v>
      </c>
      <c r="GD520" s="38"/>
      <c r="GE520" s="49" t="s">
        <v>92</v>
      </c>
      <c r="GF520" s="62" t="s">
        <v>93</v>
      </c>
      <c r="GG520" s="158" t="s">
        <v>94</v>
      </c>
      <c r="GH520" s="159"/>
      <c r="GI520" s="52" t="s">
        <v>95</v>
      </c>
      <c r="GJ520" s="59">
        <v>34800</v>
      </c>
      <c r="GK520" s="54">
        <f t="shared" si="4"/>
        <v>2610</v>
      </c>
    </row>
    <row r="521" spans="155:193" s="35" customFormat="1" ht="17.25" thickBot="1">
      <c r="EY521" s="121"/>
      <c r="EZ521" s="122"/>
      <c r="FA521" s="35">
        <v>4</v>
      </c>
      <c r="FB521" s="124">
        <v>120</v>
      </c>
      <c r="FC521" s="125">
        <f t="shared" si="9"/>
        <v>17635</v>
      </c>
      <c r="FD521" s="99">
        <f t="shared" si="6"/>
        <v>17635</v>
      </c>
      <c r="FE521" s="38">
        <f t="shared" si="7"/>
        <v>50788.799999999996</v>
      </c>
      <c r="FF521" s="38">
        <f t="shared" si="8"/>
        <v>941.55187611679139</v>
      </c>
      <c r="FG521" s="38">
        <f t="shared" si="10"/>
        <v>206421.47787445516</v>
      </c>
      <c r="FH521" s="38">
        <f>SUM(FE$518:FE521)*$FE$502</f>
        <v>66951.359999999986</v>
      </c>
      <c r="FI521" s="38"/>
      <c r="FJ521" s="100"/>
      <c r="FK521" s="35">
        <v>19</v>
      </c>
      <c r="FL521" s="40">
        <f t="shared" si="1"/>
        <v>18.833333333333332</v>
      </c>
      <c r="FM521" s="35">
        <v>29</v>
      </c>
      <c r="FN521" s="35">
        <v>3</v>
      </c>
      <c r="FO521" s="40">
        <f t="shared" si="2"/>
        <v>31.5</v>
      </c>
      <c r="FQ521" s="35">
        <v>19</v>
      </c>
      <c r="FR521" s="35">
        <v>39</v>
      </c>
      <c r="FT521" s="35">
        <v>19</v>
      </c>
      <c r="FU521" s="35">
        <f t="shared" si="5"/>
        <v>28.5</v>
      </c>
      <c r="FW521" s="117">
        <v>310</v>
      </c>
      <c r="FX521" s="118">
        <v>30325</v>
      </c>
      <c r="FY521" s="35">
        <v>20</v>
      </c>
      <c r="FZ521" s="139"/>
      <c r="GA521" s="140"/>
      <c r="GB521" s="43"/>
      <c r="GC521" s="35" t="str">
        <f t="shared" si="3"/>
        <v>310元：30325</v>
      </c>
      <c r="GD521" s="38"/>
      <c r="GE521" s="49" t="s">
        <v>96</v>
      </c>
      <c r="GF521" s="62" t="s">
        <v>97</v>
      </c>
      <c r="GG521" s="158" t="s">
        <v>98</v>
      </c>
      <c r="GH521" s="159"/>
      <c r="GI521" s="52" t="s">
        <v>99</v>
      </c>
      <c r="GJ521" s="101">
        <v>36300</v>
      </c>
      <c r="GK521" s="54">
        <f t="shared" si="4"/>
        <v>2722.5</v>
      </c>
    </row>
    <row r="522" spans="155:193" s="35" customFormat="1" ht="17.25" thickBot="1">
      <c r="EY522" s="121"/>
      <c r="EZ522" s="122"/>
      <c r="FA522" s="35">
        <v>5</v>
      </c>
      <c r="FB522" s="124">
        <v>130</v>
      </c>
      <c r="FC522" s="125">
        <f t="shared" si="9"/>
        <v>18320</v>
      </c>
      <c r="FD522" s="99">
        <f t="shared" si="6"/>
        <v>18320</v>
      </c>
      <c r="FE522" s="38">
        <f t="shared" si="7"/>
        <v>52761.600000000006</v>
      </c>
      <c r="FF522" s="38">
        <f t="shared" si="8"/>
        <v>978.12477292087715</v>
      </c>
      <c r="FG522" s="38">
        <f t="shared" si="10"/>
        <v>268418.06176235422</v>
      </c>
      <c r="FH522" s="38">
        <f>SUM(FE$518:FE522)*$FE$502</f>
        <v>85417.919999999984</v>
      </c>
      <c r="FI522" s="38"/>
      <c r="FJ522" s="100"/>
      <c r="FK522" s="35">
        <v>20</v>
      </c>
      <c r="FL522" s="40">
        <f t="shared" si="1"/>
        <v>19.833333333333332</v>
      </c>
      <c r="FM522" s="35">
        <v>32</v>
      </c>
      <c r="FN522" s="35">
        <v>4</v>
      </c>
      <c r="FO522" s="40">
        <f t="shared" si="2"/>
        <v>35.333333333333336</v>
      </c>
      <c r="FQ522" s="35">
        <v>20</v>
      </c>
      <c r="FR522" s="35">
        <v>41</v>
      </c>
      <c r="FT522" s="35">
        <v>20</v>
      </c>
      <c r="FU522" s="35">
        <f t="shared" si="5"/>
        <v>30</v>
      </c>
      <c r="FW522" s="117">
        <v>330</v>
      </c>
      <c r="FX522" s="118">
        <v>31355</v>
      </c>
      <c r="FY522" s="35">
        <v>21</v>
      </c>
      <c r="FZ522" s="139"/>
      <c r="GA522" s="140"/>
      <c r="GB522" s="43"/>
      <c r="GC522" s="35" t="str">
        <f t="shared" si="3"/>
        <v>330元：31355</v>
      </c>
      <c r="GD522" s="38"/>
      <c r="GE522" s="49" t="s">
        <v>100</v>
      </c>
      <c r="GF522" s="62" t="s">
        <v>101</v>
      </c>
      <c r="GG522" s="158" t="s">
        <v>102</v>
      </c>
      <c r="GH522" s="159"/>
      <c r="GI522" s="52" t="s">
        <v>103</v>
      </c>
      <c r="GJ522" s="102">
        <v>38200</v>
      </c>
      <c r="GK522" s="54">
        <f t="shared" si="4"/>
        <v>2865</v>
      </c>
    </row>
    <row r="523" spans="155:193" s="35" customFormat="1" ht="17.25" thickBot="1">
      <c r="EY523" s="121"/>
      <c r="EZ523" s="122"/>
      <c r="FA523" s="35">
        <v>6</v>
      </c>
      <c r="FB523" s="124">
        <v>140</v>
      </c>
      <c r="FC523" s="125">
        <f t="shared" si="9"/>
        <v>19005</v>
      </c>
      <c r="FD523" s="99">
        <f t="shared" si="6"/>
        <v>19005</v>
      </c>
      <c r="FE523" s="38">
        <f t="shared" si="7"/>
        <v>54734.399999999994</v>
      </c>
      <c r="FF523" s="38">
        <f t="shared" si="8"/>
        <v>1014.6976697249629</v>
      </c>
      <c r="FG523" s="38">
        <f t="shared" si="10"/>
        <v>334903.88190257328</v>
      </c>
      <c r="FH523" s="38">
        <f>SUM(FE$518:FE523)*$FE$502</f>
        <v>104574.95999999999</v>
      </c>
      <c r="FI523" s="38"/>
      <c r="FJ523" s="100"/>
      <c r="FK523" s="35">
        <v>21</v>
      </c>
      <c r="FL523" s="40">
        <f t="shared" si="1"/>
        <v>20.833333333333332</v>
      </c>
      <c r="FM523" s="35">
        <v>36</v>
      </c>
      <c r="FN523" s="35">
        <v>0</v>
      </c>
      <c r="FO523" s="40">
        <f t="shared" si="2"/>
        <v>36</v>
      </c>
      <c r="FQ523" s="35">
        <v>21</v>
      </c>
      <c r="FR523" s="35">
        <v>43</v>
      </c>
      <c r="FT523" s="35">
        <v>21</v>
      </c>
      <c r="FU523" s="35">
        <f t="shared" si="5"/>
        <v>31.5</v>
      </c>
      <c r="FW523" s="117">
        <v>350</v>
      </c>
      <c r="FX523" s="118">
        <v>32385</v>
      </c>
      <c r="FY523" s="35">
        <v>22</v>
      </c>
      <c r="FZ523" s="139"/>
      <c r="GA523" s="140"/>
      <c r="GB523" s="43"/>
      <c r="GC523" s="35" t="str">
        <f t="shared" si="3"/>
        <v>350元：32385</v>
      </c>
      <c r="GD523" s="38"/>
      <c r="GE523" s="103" t="s">
        <v>104</v>
      </c>
      <c r="GF523" s="104" t="s">
        <v>105</v>
      </c>
      <c r="GG523" s="158" t="s">
        <v>106</v>
      </c>
      <c r="GH523" s="159"/>
      <c r="GI523" s="105" t="s">
        <v>107</v>
      </c>
      <c r="GJ523" s="59">
        <v>40100</v>
      </c>
      <c r="GK523" s="54">
        <f t="shared" si="4"/>
        <v>3007.5</v>
      </c>
    </row>
    <row r="524" spans="155:193" s="35" customFormat="1" ht="17.25" thickBot="1">
      <c r="EY524" s="121"/>
      <c r="EZ524" s="122"/>
      <c r="FA524" s="35">
        <v>7</v>
      </c>
      <c r="FB524" s="124">
        <v>150</v>
      </c>
      <c r="FC524" s="125">
        <f t="shared" si="9"/>
        <v>19690</v>
      </c>
      <c r="FD524" s="99">
        <f t="shared" si="6"/>
        <v>19690</v>
      </c>
      <c r="FE524" s="38">
        <f t="shared" si="7"/>
        <v>56707.199999999997</v>
      </c>
      <c r="FF524" s="38">
        <f t="shared" si="8"/>
        <v>1051.2705665290414</v>
      </c>
      <c r="FG524" s="38">
        <f t="shared" si="10"/>
        <v>406058.50774520531</v>
      </c>
      <c r="FH524" s="38">
        <f>SUM(FE$518:FE524)*$FE$502</f>
        <v>124422.47999999998</v>
      </c>
      <c r="FI524" s="38"/>
      <c r="FJ524" s="100"/>
      <c r="FK524" s="35">
        <v>22</v>
      </c>
      <c r="FL524" s="40">
        <f t="shared" si="1"/>
        <v>21.833333333333332</v>
      </c>
      <c r="FM524" s="35">
        <v>36</v>
      </c>
      <c r="FN524" s="35">
        <v>0</v>
      </c>
      <c r="FO524" s="40">
        <f t="shared" si="2"/>
        <v>36</v>
      </c>
      <c r="FQ524" s="35">
        <v>22</v>
      </c>
      <c r="FR524" s="35">
        <v>45</v>
      </c>
      <c r="FT524" s="35">
        <v>22</v>
      </c>
      <c r="FU524" s="35">
        <f t="shared" si="5"/>
        <v>33</v>
      </c>
      <c r="FW524" s="117">
        <v>370</v>
      </c>
      <c r="FX524" s="118">
        <v>33410</v>
      </c>
      <c r="FY524" s="35">
        <v>23</v>
      </c>
      <c r="FZ524" s="139"/>
      <c r="GA524" s="140"/>
      <c r="GB524" s="43"/>
      <c r="GC524" s="35" t="str">
        <f t="shared" si="3"/>
        <v>370元：33410</v>
      </c>
      <c r="GD524" s="38"/>
      <c r="GE524" s="106" t="s">
        <v>108</v>
      </c>
      <c r="GF524" s="51" t="s">
        <v>109</v>
      </c>
      <c r="GG524" s="158" t="s">
        <v>110</v>
      </c>
      <c r="GH524" s="159"/>
      <c r="GI524" s="107" t="s">
        <v>111</v>
      </c>
      <c r="GJ524" s="59">
        <v>42000</v>
      </c>
      <c r="GK524" s="54">
        <f t="shared" si="4"/>
        <v>3150</v>
      </c>
    </row>
    <row r="525" spans="155:193" s="35" customFormat="1" ht="17.25" thickBot="1">
      <c r="EY525" s="121"/>
      <c r="EZ525" s="122"/>
      <c r="FA525" s="35">
        <v>8</v>
      </c>
      <c r="FB525" s="41">
        <v>160</v>
      </c>
      <c r="FC525" s="42">
        <f t="shared" si="9"/>
        <v>20380</v>
      </c>
      <c r="FD525" s="99">
        <f t="shared" si="6"/>
        <v>20380</v>
      </c>
      <c r="FE525" s="38">
        <f t="shared" si="7"/>
        <v>58694.399999999994</v>
      </c>
      <c r="FF525" s="38">
        <f t="shared" si="8"/>
        <v>1088.1104187842575</v>
      </c>
      <c r="FG525" s="38">
        <f t="shared" si="10"/>
        <v>482083.35847379774</v>
      </c>
      <c r="FH525" s="38">
        <f>SUM(FE$518:FE525)*$FE$502</f>
        <v>144965.51999999996</v>
      </c>
      <c r="FI525" s="38"/>
      <c r="FJ525" s="100"/>
      <c r="FK525" s="35">
        <v>23</v>
      </c>
      <c r="FL525" s="40">
        <f t="shared" si="1"/>
        <v>22.833333333333332</v>
      </c>
      <c r="FM525" s="35">
        <v>36</v>
      </c>
      <c r="FN525" s="35">
        <v>0</v>
      </c>
      <c r="FO525" s="40">
        <f t="shared" si="2"/>
        <v>36</v>
      </c>
      <c r="FQ525" s="35">
        <v>23</v>
      </c>
      <c r="FR525" s="35">
        <v>47</v>
      </c>
      <c r="FT525" s="35">
        <v>23</v>
      </c>
      <c r="FU525" s="35">
        <f t="shared" si="5"/>
        <v>34.5</v>
      </c>
      <c r="FW525" s="117">
        <v>390</v>
      </c>
      <c r="FX525" s="118">
        <v>34440</v>
      </c>
      <c r="FY525" s="35">
        <v>24</v>
      </c>
      <c r="FZ525" s="139"/>
      <c r="GA525" s="140"/>
      <c r="GB525" s="43"/>
      <c r="GC525" s="35" t="str">
        <f t="shared" si="3"/>
        <v>390元：34440</v>
      </c>
      <c r="GD525" s="38"/>
      <c r="GE525" s="108" t="s">
        <v>112</v>
      </c>
      <c r="GF525" s="109" t="s">
        <v>113</v>
      </c>
      <c r="GG525" s="160" t="s">
        <v>114</v>
      </c>
      <c r="GH525" s="161"/>
      <c r="GI525" s="110" t="s">
        <v>115</v>
      </c>
      <c r="GJ525" s="59">
        <v>43900</v>
      </c>
      <c r="GK525" s="54">
        <f t="shared" si="4"/>
        <v>3292.5</v>
      </c>
    </row>
    <row r="526" spans="155:193" s="35" customFormat="1" ht="17.25" thickTop="1">
      <c r="EY526" s="121"/>
      <c r="EZ526" s="122"/>
      <c r="FA526" s="35">
        <v>9</v>
      </c>
      <c r="FB526" s="41">
        <v>170</v>
      </c>
      <c r="FC526" s="42">
        <f t="shared" si="9"/>
        <v>21065</v>
      </c>
      <c r="FD526" s="99">
        <f t="shared" si="6"/>
        <v>21065</v>
      </c>
      <c r="FE526" s="38">
        <f t="shared" si="7"/>
        <v>60667.199999999997</v>
      </c>
      <c r="FF526" s="38">
        <f t="shared" si="8"/>
        <v>1124.6833155883287</v>
      </c>
      <c r="FG526" s="38">
        <f t="shared" si="10"/>
        <v>563158.57612833788</v>
      </c>
      <c r="FH526" s="38">
        <f>SUM(FE$518:FE526)*$FE$502</f>
        <v>166199.03999999998</v>
      </c>
      <c r="FI526" s="38"/>
      <c r="FJ526" s="100"/>
      <c r="FK526" s="35">
        <v>24</v>
      </c>
      <c r="FL526" s="40">
        <f t="shared" si="1"/>
        <v>23.833333333333332</v>
      </c>
      <c r="FM526" s="35">
        <v>36</v>
      </c>
      <c r="FN526" s="35">
        <v>0</v>
      </c>
      <c r="FO526" s="40">
        <f t="shared" si="2"/>
        <v>36</v>
      </c>
      <c r="FQ526" s="35">
        <v>24</v>
      </c>
      <c r="FR526" s="35">
        <v>49</v>
      </c>
      <c r="FT526" s="35">
        <v>24</v>
      </c>
      <c r="FU526" s="35">
        <f t="shared" si="5"/>
        <v>36</v>
      </c>
      <c r="FW526" s="117">
        <v>410</v>
      </c>
      <c r="FX526" s="118">
        <v>35470</v>
      </c>
      <c r="FY526" s="35">
        <v>25</v>
      </c>
      <c r="FZ526" s="139"/>
      <c r="GA526" s="140"/>
      <c r="GB526" s="43"/>
      <c r="GC526" s="35" t="str">
        <f t="shared" si="3"/>
        <v>410元：35470</v>
      </c>
      <c r="GD526" s="38"/>
    </row>
    <row r="527" spans="155:193" s="35" customFormat="1">
      <c r="EY527" s="121"/>
      <c r="EZ527" s="122"/>
      <c r="FA527" s="35">
        <v>10</v>
      </c>
      <c r="FB527" s="41">
        <v>180</v>
      </c>
      <c r="FC527" s="42">
        <f t="shared" si="9"/>
        <v>21750</v>
      </c>
      <c r="FD527" s="99">
        <f t="shared" si="6"/>
        <v>21750</v>
      </c>
      <c r="FE527" s="46">
        <f t="shared" si="7"/>
        <v>62640</v>
      </c>
      <c r="FF527" s="38">
        <f t="shared" si="8"/>
        <v>1161.2562123924145</v>
      </c>
      <c r="FG527" s="46">
        <f t="shared" si="10"/>
        <v>649486.17538586375</v>
      </c>
      <c r="FH527" s="38">
        <f>SUM(FE$518:FE527)*$FE$502</f>
        <v>188123.03999999995</v>
      </c>
      <c r="FI527" s="38"/>
      <c r="FJ527" s="100"/>
      <c r="FK527" s="35">
        <v>25</v>
      </c>
      <c r="FL527" s="40">
        <f t="shared" si="1"/>
        <v>24.833333333333332</v>
      </c>
      <c r="FM527" s="35">
        <v>36</v>
      </c>
      <c r="FN527" s="35">
        <v>0</v>
      </c>
      <c r="FO527" s="40">
        <f t="shared" si="2"/>
        <v>36</v>
      </c>
      <c r="FQ527" s="35">
        <v>25</v>
      </c>
      <c r="FR527" s="35">
        <v>51</v>
      </c>
      <c r="FT527" s="35">
        <v>25</v>
      </c>
      <c r="FU527" s="35">
        <f t="shared" si="5"/>
        <v>37.5</v>
      </c>
      <c r="FW527" s="117">
        <v>430</v>
      </c>
      <c r="FX527" s="118">
        <v>36500</v>
      </c>
      <c r="FY527" s="35">
        <v>26</v>
      </c>
      <c r="FZ527" s="139"/>
      <c r="GA527" s="140"/>
      <c r="GB527" s="43"/>
      <c r="GC527" s="35" t="str">
        <f t="shared" si="3"/>
        <v>430元：36500</v>
      </c>
      <c r="GD527" s="38"/>
    </row>
    <row r="528" spans="155:193" s="35" customFormat="1">
      <c r="EY528" s="121"/>
      <c r="EZ528" s="122"/>
      <c r="FA528" s="35">
        <v>11</v>
      </c>
      <c r="FB528" s="41">
        <v>190</v>
      </c>
      <c r="FC528" s="42">
        <f t="shared" si="9"/>
        <v>22435</v>
      </c>
      <c r="FD528" s="99">
        <f t="shared" si="6"/>
        <v>22435</v>
      </c>
      <c r="FE528" s="46">
        <f t="shared" si="7"/>
        <v>64612.799999999996</v>
      </c>
      <c r="FF528" s="38">
        <f t="shared" si="8"/>
        <v>1197.8291091965002</v>
      </c>
      <c r="FG528" s="46">
        <f t="shared" si="10"/>
        <v>741276.25151049497</v>
      </c>
      <c r="FH528" s="38">
        <f>SUM(FE$518:FE528)*$FE$502</f>
        <v>210737.51999999996</v>
      </c>
      <c r="FI528" s="38"/>
      <c r="FJ528" s="100"/>
      <c r="FK528" s="35">
        <v>26</v>
      </c>
      <c r="FL528" s="40">
        <f t="shared" si="1"/>
        <v>25.833333333333332</v>
      </c>
      <c r="FM528" s="35">
        <v>36</v>
      </c>
      <c r="FN528" s="35">
        <v>0</v>
      </c>
      <c r="FO528" s="40">
        <f t="shared" si="2"/>
        <v>36</v>
      </c>
      <c r="FQ528" s="35">
        <v>26</v>
      </c>
      <c r="FR528" s="35">
        <v>53</v>
      </c>
      <c r="FT528" s="35">
        <v>26</v>
      </c>
      <c r="FU528" s="35">
        <f t="shared" si="5"/>
        <v>39</v>
      </c>
      <c r="FW528" s="117">
        <v>450</v>
      </c>
      <c r="FX528" s="118">
        <v>37530</v>
      </c>
      <c r="FY528" s="35">
        <v>27</v>
      </c>
      <c r="FZ528" s="139"/>
      <c r="GA528" s="140"/>
      <c r="GB528" s="43"/>
      <c r="GC528" s="35" t="str">
        <f t="shared" si="3"/>
        <v>450元：37530</v>
      </c>
      <c r="GD528" s="38"/>
    </row>
    <row r="529" spans="155:186" s="35" customFormat="1">
      <c r="EY529" s="121"/>
      <c r="EZ529" s="122"/>
      <c r="FA529" s="35">
        <v>12</v>
      </c>
      <c r="FB529" s="41">
        <v>200</v>
      </c>
      <c r="FC529" s="42">
        <f t="shared" si="9"/>
        <v>23120</v>
      </c>
      <c r="FD529" s="99">
        <f t="shared" si="6"/>
        <v>23120</v>
      </c>
      <c r="FE529" s="46">
        <f t="shared" si="7"/>
        <v>66585.600000000006</v>
      </c>
      <c r="FF529" s="38">
        <f t="shared" si="8"/>
        <v>1234.402006000586</v>
      </c>
      <c r="FG529" s="46">
        <f t="shared" si="10"/>
        <v>838747.30357691541</v>
      </c>
      <c r="FH529" s="38">
        <f>SUM(FE$518:FE529)*$FE$502</f>
        <v>234042.47999999995</v>
      </c>
      <c r="FI529" s="38"/>
      <c r="FJ529" s="100"/>
      <c r="FK529" s="35">
        <v>27</v>
      </c>
      <c r="FL529" s="40">
        <f t="shared" si="1"/>
        <v>26.833333333333332</v>
      </c>
      <c r="FM529" s="35">
        <v>36</v>
      </c>
      <c r="FN529" s="35">
        <v>0</v>
      </c>
      <c r="FO529" s="40">
        <f t="shared" si="2"/>
        <v>36</v>
      </c>
      <c r="FQ529" s="35">
        <v>27</v>
      </c>
      <c r="FR529" s="35">
        <v>55</v>
      </c>
      <c r="FT529" s="35">
        <v>27</v>
      </c>
      <c r="FU529" s="35">
        <f t="shared" si="5"/>
        <v>40.5</v>
      </c>
      <c r="FW529" s="117">
        <v>475</v>
      </c>
      <c r="FX529" s="118">
        <v>40270</v>
      </c>
      <c r="FY529" s="35">
        <v>28</v>
      </c>
      <c r="FZ529" s="139"/>
      <c r="GA529" s="140"/>
      <c r="GB529" s="43"/>
      <c r="GC529" s="35" t="str">
        <f t="shared" si="3"/>
        <v>475元：40270</v>
      </c>
      <c r="GD529" s="38"/>
    </row>
    <row r="530" spans="155:186" s="35" customFormat="1">
      <c r="EY530" s="121"/>
      <c r="EZ530" s="122"/>
      <c r="FA530" s="35">
        <v>13</v>
      </c>
      <c r="FB530" s="41">
        <v>210</v>
      </c>
      <c r="FC530" s="42">
        <f t="shared" si="9"/>
        <v>23810</v>
      </c>
      <c r="FD530" s="99">
        <f t="shared" si="6"/>
        <v>23810</v>
      </c>
      <c r="FE530" s="46">
        <f t="shared" si="7"/>
        <v>68572.799999999988</v>
      </c>
      <c r="FF530" s="38">
        <f t="shared" si="8"/>
        <v>1271.2418582557875</v>
      </c>
      <c r="FG530" s="46">
        <f t="shared" si="10"/>
        <v>942141.23757824791</v>
      </c>
      <c r="FH530" s="38">
        <f>SUM(FE$518:FE530)*$FE$502</f>
        <v>258042.95999999993</v>
      </c>
      <c r="FI530" s="38"/>
      <c r="FJ530" s="100"/>
      <c r="FK530" s="35">
        <v>28</v>
      </c>
      <c r="FL530" s="40">
        <f t="shared" si="1"/>
        <v>27.833333333333332</v>
      </c>
      <c r="FM530" s="35">
        <v>36</v>
      </c>
      <c r="FN530" s="35">
        <v>0</v>
      </c>
      <c r="FO530" s="40">
        <f t="shared" si="2"/>
        <v>36</v>
      </c>
      <c r="FQ530" s="35">
        <v>28</v>
      </c>
      <c r="FR530" s="35">
        <v>57</v>
      </c>
      <c r="FT530" s="35">
        <v>28</v>
      </c>
      <c r="FU530" s="35">
        <f t="shared" si="5"/>
        <v>42</v>
      </c>
      <c r="FW530" s="117">
        <v>500</v>
      </c>
      <c r="FX530" s="118">
        <v>41645</v>
      </c>
      <c r="FY530" s="35">
        <v>29</v>
      </c>
      <c r="FZ530" s="139"/>
      <c r="GA530" s="140"/>
      <c r="GB530" s="43"/>
      <c r="GC530" s="35" t="str">
        <f t="shared" si="3"/>
        <v>500元：41645</v>
      </c>
      <c r="GD530" s="38"/>
    </row>
    <row r="531" spans="155:186" s="35" customFormat="1">
      <c r="EY531" s="121"/>
      <c r="EZ531" s="122"/>
      <c r="FA531" s="35">
        <v>14</v>
      </c>
      <c r="FB531" s="41">
        <v>220</v>
      </c>
      <c r="FC531" s="42">
        <f t="shared" si="9"/>
        <v>24495</v>
      </c>
      <c r="FD531" s="99">
        <f t="shared" si="6"/>
        <v>24495</v>
      </c>
      <c r="FE531" s="46">
        <f t="shared" si="7"/>
        <v>70545.600000000006</v>
      </c>
      <c r="FF531" s="38">
        <f t="shared" si="8"/>
        <v>1307.814755059866</v>
      </c>
      <c r="FG531" s="46">
        <f t="shared" si="10"/>
        <v>1051680.3018364378</v>
      </c>
      <c r="FH531" s="38">
        <f>SUM(FE$518:FE531)*$FE$502</f>
        <v>282733.91999999993</v>
      </c>
      <c r="FI531" s="38"/>
      <c r="FJ531" s="100"/>
      <c r="FK531" s="35">
        <v>29</v>
      </c>
      <c r="FL531" s="40">
        <f t="shared" si="1"/>
        <v>28.833333333333332</v>
      </c>
      <c r="FM531" s="35">
        <v>36</v>
      </c>
      <c r="FN531" s="35">
        <v>0</v>
      </c>
      <c r="FO531" s="40">
        <f t="shared" si="2"/>
        <v>36</v>
      </c>
      <c r="FQ531" s="35">
        <v>29</v>
      </c>
      <c r="FR531" s="35">
        <v>59</v>
      </c>
      <c r="FT531" s="35">
        <v>29</v>
      </c>
      <c r="FU531" s="35">
        <f t="shared" si="5"/>
        <v>43.5</v>
      </c>
      <c r="FW531" s="117">
        <v>525</v>
      </c>
      <c r="FX531" s="118">
        <v>43015</v>
      </c>
      <c r="FY531" s="35">
        <v>30</v>
      </c>
      <c r="FZ531" s="139"/>
      <c r="GA531" s="140"/>
      <c r="GB531" s="43"/>
      <c r="GC531" s="35" t="str">
        <f t="shared" si="3"/>
        <v>525元：43015</v>
      </c>
      <c r="GD531" s="38"/>
    </row>
    <row r="532" spans="155:186" s="35" customFormat="1">
      <c r="EY532" s="121"/>
      <c r="EZ532" s="122"/>
      <c r="FA532" s="35">
        <v>15</v>
      </c>
      <c r="FB532" s="41">
        <v>230</v>
      </c>
      <c r="FC532" s="42">
        <f t="shared" si="9"/>
        <v>25180</v>
      </c>
      <c r="FD532" s="99">
        <f t="shared" si="6"/>
        <v>25180</v>
      </c>
      <c r="FE532" s="46">
        <f t="shared" si="7"/>
        <v>72518.399999999994</v>
      </c>
      <c r="FF532" s="38">
        <f t="shared" si="8"/>
        <v>1344.387651863959</v>
      </c>
      <c r="FG532" s="46">
        <f t="shared" si="10"/>
        <v>1167610.3015617593</v>
      </c>
      <c r="FH532" s="38">
        <f>SUM(FE$518:FE532)*$FE$502</f>
        <v>308115.35999999993</v>
      </c>
      <c r="FI532" s="38"/>
      <c r="FJ532" s="100"/>
      <c r="FK532" s="35">
        <v>30</v>
      </c>
      <c r="FL532" s="40">
        <f t="shared" si="1"/>
        <v>29.833333333333332</v>
      </c>
      <c r="FM532" s="35">
        <v>36</v>
      </c>
      <c r="FN532" s="35">
        <v>0</v>
      </c>
      <c r="FO532" s="40">
        <f t="shared" si="2"/>
        <v>36</v>
      </c>
      <c r="FQ532" s="35">
        <v>30</v>
      </c>
      <c r="FR532" s="35">
        <v>61</v>
      </c>
      <c r="FT532" s="35">
        <v>30</v>
      </c>
      <c r="FU532" s="35">
        <f t="shared" si="5"/>
        <v>45</v>
      </c>
      <c r="FW532" s="117">
        <v>550</v>
      </c>
      <c r="FX532" s="118">
        <v>44390</v>
      </c>
      <c r="FY532" s="35">
        <v>31</v>
      </c>
      <c r="FZ532" s="139"/>
      <c r="GA532" s="140"/>
      <c r="GB532" s="43"/>
      <c r="GC532" s="35" t="str">
        <f t="shared" si="3"/>
        <v>550元：44390</v>
      </c>
      <c r="GD532" s="38"/>
    </row>
    <row r="533" spans="155:186" s="35" customFormat="1">
      <c r="EY533" s="121"/>
      <c r="EZ533" s="122"/>
      <c r="FA533" s="35">
        <v>16</v>
      </c>
      <c r="FB533" s="41">
        <v>245</v>
      </c>
      <c r="FC533" s="42">
        <f t="shared" si="9"/>
        <v>26210</v>
      </c>
      <c r="FD533" s="99">
        <f t="shared" si="6"/>
        <v>26210</v>
      </c>
      <c r="FE533" s="46">
        <f t="shared" si="7"/>
        <v>75484.799999999988</v>
      </c>
      <c r="FF533" s="38">
        <f t="shared" si="8"/>
        <v>1399.3804747956456</v>
      </c>
      <c r="FG533" s="46">
        <f t="shared" si="10"/>
        <v>1291198.8940990253</v>
      </c>
      <c r="FH533" s="38">
        <f>SUM(FE$518:FE533)*$FE$502</f>
        <v>334535.03999999992</v>
      </c>
      <c r="FI533" s="38"/>
      <c r="FJ533" s="100"/>
      <c r="FK533" s="35">
        <v>31</v>
      </c>
      <c r="FL533" s="40">
        <f t="shared" si="1"/>
        <v>30.833333333333332</v>
      </c>
      <c r="FM533" s="35">
        <v>36</v>
      </c>
      <c r="FN533" s="35">
        <v>0</v>
      </c>
      <c r="FO533" s="40">
        <f t="shared" si="2"/>
        <v>36</v>
      </c>
      <c r="FQ533" s="35">
        <v>31</v>
      </c>
      <c r="FR533" s="35">
        <v>63</v>
      </c>
      <c r="FT533" s="35">
        <v>31</v>
      </c>
      <c r="FU533" s="35">
        <f t="shared" si="5"/>
        <v>46.5</v>
      </c>
      <c r="FW533" s="117">
        <v>575</v>
      </c>
      <c r="FX533" s="118">
        <v>45760</v>
      </c>
      <c r="FY533" s="35">
        <v>32</v>
      </c>
      <c r="FZ533" s="139"/>
      <c r="GA533" s="140"/>
      <c r="GB533" s="43"/>
      <c r="GC533" s="35" t="str">
        <f t="shared" si="3"/>
        <v>575元：45760</v>
      </c>
      <c r="GD533" s="38"/>
    </row>
    <row r="534" spans="155:186" s="35" customFormat="1">
      <c r="EY534" s="121"/>
      <c r="EZ534" s="122"/>
      <c r="FA534" s="35">
        <v>17</v>
      </c>
      <c r="FB534" s="41">
        <v>260</v>
      </c>
      <c r="FC534" s="42">
        <f t="shared" si="9"/>
        <v>27240</v>
      </c>
      <c r="FD534" s="99">
        <f t="shared" si="6"/>
        <v>27240</v>
      </c>
      <c r="FE534" s="46">
        <f t="shared" si="7"/>
        <v>78451.199999999997</v>
      </c>
      <c r="FF534" s="38">
        <f t="shared" si="8"/>
        <v>1454.3732977273321</v>
      </c>
      <c r="FG534" s="46">
        <f t="shared" si="10"/>
        <v>1422752.4231607136</v>
      </c>
      <c r="FH534" s="38">
        <f>SUM(FE$518:FE534)*$FE$502</f>
        <v>361992.9599999999</v>
      </c>
      <c r="FI534" s="38"/>
      <c r="FJ534" s="100"/>
      <c r="FK534" s="35">
        <v>32</v>
      </c>
      <c r="FL534" s="40">
        <f t="shared" si="1"/>
        <v>31.833333333333332</v>
      </c>
      <c r="FM534" s="35">
        <v>36</v>
      </c>
      <c r="FN534" s="35">
        <v>0</v>
      </c>
      <c r="FO534" s="40">
        <f t="shared" si="2"/>
        <v>36</v>
      </c>
      <c r="FQ534" s="35">
        <v>32</v>
      </c>
      <c r="FR534" s="35">
        <v>65</v>
      </c>
      <c r="FT534" s="35">
        <v>32</v>
      </c>
      <c r="FU534" s="35">
        <f t="shared" si="5"/>
        <v>48</v>
      </c>
      <c r="FW534" s="117">
        <v>600</v>
      </c>
      <c r="FX534" s="118">
        <v>47130</v>
      </c>
      <c r="FY534" s="35">
        <v>33</v>
      </c>
      <c r="FZ534" s="139"/>
      <c r="GA534" s="140"/>
      <c r="GB534" s="43"/>
      <c r="GC534" s="35" t="str">
        <f t="shared" si="3"/>
        <v>600元：47130</v>
      </c>
      <c r="GD534" s="38"/>
    </row>
    <row r="535" spans="155:186" s="35" customFormat="1">
      <c r="EY535" s="121"/>
      <c r="EZ535" s="122"/>
      <c r="FA535" s="35">
        <v>18</v>
      </c>
      <c r="FB535" s="41">
        <v>275</v>
      </c>
      <c r="FC535" s="42">
        <f t="shared" si="9"/>
        <v>28265</v>
      </c>
      <c r="FD535" s="99">
        <f t="shared" si="6"/>
        <v>28265</v>
      </c>
      <c r="FE535" s="46">
        <f t="shared" si="7"/>
        <v>81403.199999999997</v>
      </c>
      <c r="FF535" s="38">
        <f t="shared" si="8"/>
        <v>1509.0991652078956</v>
      </c>
      <c r="FG535" s="46">
        <f t="shared" si="10"/>
        <v>1562574.8192523501</v>
      </c>
      <c r="FH535" s="38">
        <f>SUM(FE$518:FE535)*$FE$502</f>
        <v>390484.0799999999</v>
      </c>
      <c r="FI535" s="38"/>
      <c r="FJ535" s="100"/>
      <c r="FK535" s="35">
        <v>33</v>
      </c>
      <c r="FL535" s="40">
        <f t="shared" si="1"/>
        <v>32.833333333333336</v>
      </c>
      <c r="FM535" s="35">
        <v>36</v>
      </c>
      <c r="FN535" s="35">
        <v>0</v>
      </c>
      <c r="FO535" s="40">
        <f t="shared" si="2"/>
        <v>36</v>
      </c>
      <c r="FQ535" s="35">
        <v>33</v>
      </c>
      <c r="FR535" s="35">
        <v>67</v>
      </c>
      <c r="FT535" s="35">
        <v>33</v>
      </c>
      <c r="FU535" s="35">
        <f t="shared" si="5"/>
        <v>49.5</v>
      </c>
      <c r="FW535" s="117">
        <v>625</v>
      </c>
      <c r="FX535" s="118">
        <v>48505</v>
      </c>
      <c r="FY535" s="35">
        <v>34</v>
      </c>
      <c r="FZ535" s="139"/>
      <c r="GA535" s="140"/>
      <c r="GB535" s="43"/>
      <c r="GC535" s="35" t="str">
        <f t="shared" si="3"/>
        <v>625元：48505</v>
      </c>
      <c r="GD535" s="38"/>
    </row>
    <row r="536" spans="155:186" s="35" customFormat="1">
      <c r="EY536" s="121"/>
      <c r="EZ536" s="122"/>
      <c r="FA536" s="35">
        <v>19</v>
      </c>
      <c r="FB536" s="41">
        <v>290</v>
      </c>
      <c r="FC536" s="42">
        <f t="shared" si="9"/>
        <v>29295</v>
      </c>
      <c r="FD536" s="99">
        <f t="shared" si="6"/>
        <v>29295</v>
      </c>
      <c r="FE536" s="46">
        <f t="shared" si="7"/>
        <v>84369.600000000006</v>
      </c>
      <c r="FF536" s="38">
        <f t="shared" si="8"/>
        <v>1564.0919881395821</v>
      </c>
      <c r="FG536" s="46">
        <f t="shared" si="10"/>
        <v>1711011.5040105837</v>
      </c>
      <c r="FH536" s="38">
        <f>SUM(FE$518:FE536)*$FE$502</f>
        <v>420013.43999999994</v>
      </c>
      <c r="FI536" s="38"/>
      <c r="FJ536" s="100"/>
      <c r="FK536" s="35">
        <v>34</v>
      </c>
      <c r="FL536" s="40">
        <f t="shared" si="1"/>
        <v>33.833333333333336</v>
      </c>
      <c r="FM536" s="35">
        <v>36</v>
      </c>
      <c r="FN536" s="35">
        <v>0</v>
      </c>
      <c r="FO536" s="40">
        <f t="shared" si="2"/>
        <v>36</v>
      </c>
      <c r="FQ536" s="35">
        <v>34</v>
      </c>
      <c r="FR536" s="35">
        <v>69</v>
      </c>
      <c r="FT536" s="35">
        <v>34</v>
      </c>
      <c r="FU536" s="35">
        <f t="shared" si="5"/>
        <v>51</v>
      </c>
      <c r="FW536" s="117">
        <v>650</v>
      </c>
      <c r="FX536" s="118">
        <v>49875</v>
      </c>
      <c r="FY536" s="35">
        <v>35</v>
      </c>
      <c r="FZ536" s="139"/>
      <c r="GA536" s="140"/>
      <c r="GB536" s="43"/>
      <c r="GC536" s="35" t="str">
        <f t="shared" si="3"/>
        <v>650元：49875</v>
      </c>
      <c r="GD536" s="38"/>
    </row>
    <row r="537" spans="155:186" s="35" customFormat="1">
      <c r="EY537" s="121"/>
      <c r="EZ537" s="122"/>
      <c r="FA537" s="35">
        <v>20</v>
      </c>
      <c r="FB537" s="41">
        <v>310</v>
      </c>
      <c r="FC537" s="42">
        <f t="shared" si="9"/>
        <v>30325</v>
      </c>
      <c r="FD537" s="99">
        <f t="shared" si="6"/>
        <v>30325</v>
      </c>
      <c r="FE537" s="46">
        <f t="shared" si="7"/>
        <v>87336</v>
      </c>
      <c r="FF537" s="38">
        <f t="shared" si="8"/>
        <v>1619.0848110712686</v>
      </c>
      <c r="FG537" s="46">
        <f t="shared" si="10"/>
        <v>1868407.0489820782</v>
      </c>
      <c r="FH537" s="38">
        <f>SUM(FE$518:FE537)*$FE$502</f>
        <v>450581.03999999992</v>
      </c>
      <c r="FI537" s="38"/>
      <c r="FJ537" s="100"/>
      <c r="FK537" s="35">
        <v>35</v>
      </c>
      <c r="FL537" s="40">
        <f t="shared" si="1"/>
        <v>34.833333333333336</v>
      </c>
      <c r="FM537" s="35">
        <v>36</v>
      </c>
      <c r="FN537" s="35">
        <v>0</v>
      </c>
      <c r="FO537" s="40">
        <f t="shared" si="2"/>
        <v>36</v>
      </c>
      <c r="FQ537" s="35">
        <v>35</v>
      </c>
      <c r="FR537" s="35">
        <v>71</v>
      </c>
      <c r="FT537" s="35">
        <v>35</v>
      </c>
      <c r="FU537" s="35">
        <f>FT537*1.5+0.5</f>
        <v>53</v>
      </c>
      <c r="FW537" s="117">
        <v>680</v>
      </c>
      <c r="FX537" s="118">
        <v>51250</v>
      </c>
      <c r="FY537" s="35">
        <v>36</v>
      </c>
      <c r="FZ537" s="139"/>
      <c r="GA537" s="140"/>
      <c r="GB537" s="43"/>
      <c r="GC537" s="35" t="str">
        <f t="shared" si="3"/>
        <v>680元：51250</v>
      </c>
      <c r="GD537" s="38"/>
    </row>
    <row r="538" spans="155:186" s="35" customFormat="1">
      <c r="EY538" s="121"/>
      <c r="EZ538" s="122"/>
      <c r="FA538" s="35">
        <v>21</v>
      </c>
      <c r="FB538" s="41">
        <v>330</v>
      </c>
      <c r="FC538" s="42">
        <f t="shared" si="9"/>
        <v>31355</v>
      </c>
      <c r="FD538" s="99">
        <f t="shared" si="6"/>
        <v>31355</v>
      </c>
      <c r="FE538" s="46">
        <f t="shared" si="7"/>
        <v>90302.399999999994</v>
      </c>
      <c r="FF538" s="38">
        <f t="shared" si="8"/>
        <v>1674.0776340029552</v>
      </c>
      <c r="FG538" s="46">
        <f t="shared" si="10"/>
        <v>2035119.8085753643</v>
      </c>
      <c r="FH538" s="38">
        <f>SUM(FE$518:FE538)*$FE$502</f>
        <v>482186.87999999989</v>
      </c>
      <c r="FI538" s="38"/>
      <c r="FJ538" s="100"/>
      <c r="FK538" s="35">
        <v>36</v>
      </c>
      <c r="FL538" s="40">
        <f t="shared" si="1"/>
        <v>35.833333333333336</v>
      </c>
      <c r="FM538" s="35">
        <v>36</v>
      </c>
      <c r="FN538" s="35">
        <v>0</v>
      </c>
      <c r="FO538" s="40">
        <f t="shared" si="2"/>
        <v>36</v>
      </c>
      <c r="FQ538" s="35">
        <v>36</v>
      </c>
      <c r="FR538" s="35">
        <v>73</v>
      </c>
      <c r="FT538" s="35">
        <v>36</v>
      </c>
      <c r="FU538" s="35">
        <f>FT538*1.5+0.5</f>
        <v>54.5</v>
      </c>
      <c r="FW538" s="117">
        <v>710</v>
      </c>
      <c r="FX538" s="118">
        <v>53305</v>
      </c>
      <c r="FY538" s="35">
        <v>37</v>
      </c>
      <c r="FZ538" s="139"/>
      <c r="GA538" s="140"/>
      <c r="GB538" s="43"/>
      <c r="GC538" s="35" t="str">
        <f t="shared" si="3"/>
        <v>710元：53305</v>
      </c>
      <c r="GD538" s="38"/>
    </row>
    <row r="539" spans="155:186" s="35" customFormat="1">
      <c r="EY539" s="121"/>
      <c r="EZ539" s="122"/>
      <c r="FA539" s="35">
        <v>22</v>
      </c>
      <c r="FB539" s="41">
        <v>350</v>
      </c>
      <c r="FC539" s="42">
        <f t="shared" si="9"/>
        <v>32385</v>
      </c>
      <c r="FD539" s="99">
        <f t="shared" si="6"/>
        <v>32385</v>
      </c>
      <c r="FE539" s="46">
        <f t="shared" si="7"/>
        <v>93268.799999999988</v>
      </c>
      <c r="FF539" s="38">
        <f t="shared" si="8"/>
        <v>1729.0704569346417</v>
      </c>
      <c r="FG539" s="46">
        <f t="shared" si="10"/>
        <v>2211522.4713753136</v>
      </c>
      <c r="FH539" s="38">
        <f>SUM(FE$518:FE539)*$FE$502</f>
        <v>514830.9599999999</v>
      </c>
      <c r="FI539" s="38"/>
      <c r="FJ539" s="100"/>
      <c r="FK539" s="35">
        <v>37</v>
      </c>
      <c r="FL539" s="40">
        <f t="shared" si="1"/>
        <v>36.833333333333336</v>
      </c>
      <c r="FM539" s="35">
        <v>36</v>
      </c>
      <c r="FN539" s="35">
        <v>0</v>
      </c>
      <c r="FO539" s="40">
        <f t="shared" si="2"/>
        <v>36</v>
      </c>
      <c r="FQ539" s="35">
        <v>37</v>
      </c>
      <c r="FR539" s="35">
        <v>75</v>
      </c>
      <c r="FT539" s="35">
        <v>37</v>
      </c>
      <c r="FU539" s="35">
        <f>FT539*1.5+0.5</f>
        <v>56</v>
      </c>
      <c r="FW539" s="117">
        <v>740</v>
      </c>
      <c r="FX539" s="118">
        <v>53990</v>
      </c>
      <c r="FY539" s="35">
        <v>38</v>
      </c>
      <c r="FZ539" s="139"/>
      <c r="GA539" s="140"/>
      <c r="GB539" s="43"/>
      <c r="GC539" s="35" t="str">
        <f t="shared" si="3"/>
        <v>740元：53990</v>
      </c>
      <c r="GD539" s="38"/>
    </row>
    <row r="540" spans="155:186" s="35" customFormat="1" ht="17.25" thickBot="1">
      <c r="EY540" s="121"/>
      <c r="EZ540" s="122"/>
      <c r="FA540" s="35">
        <v>23</v>
      </c>
      <c r="FB540" s="41">
        <v>370</v>
      </c>
      <c r="FC540" s="42">
        <f t="shared" si="9"/>
        <v>33410</v>
      </c>
      <c r="FD540" s="99">
        <f t="shared" si="6"/>
        <v>33410</v>
      </c>
      <c r="FE540" s="46">
        <f t="shared" si="7"/>
        <v>96220.799999999988</v>
      </c>
      <c r="FF540" s="38">
        <f t="shared" si="8"/>
        <v>1783.7963244152052</v>
      </c>
      <c r="FG540" s="46">
        <f t="shared" si="10"/>
        <v>2397987.9665547414</v>
      </c>
      <c r="FH540" s="38">
        <f>SUM(FE$518:FE540)*$FE$502</f>
        <v>548508.24</v>
      </c>
      <c r="FI540" s="38"/>
      <c r="FJ540" s="100"/>
      <c r="FK540" s="35">
        <v>38</v>
      </c>
      <c r="FL540" s="40">
        <f t="shared" si="1"/>
        <v>37.833333333333336</v>
      </c>
      <c r="FM540" s="35">
        <v>36</v>
      </c>
      <c r="FN540" s="35">
        <v>0</v>
      </c>
      <c r="FO540" s="40">
        <f t="shared" si="2"/>
        <v>36</v>
      </c>
      <c r="FQ540" s="35">
        <v>38</v>
      </c>
      <c r="FR540" s="35">
        <v>77</v>
      </c>
      <c r="FT540" s="35">
        <v>38</v>
      </c>
      <c r="FU540" s="35">
        <f>FT540*1.5+0.5</f>
        <v>57.5</v>
      </c>
      <c r="FW540" s="119">
        <v>770</v>
      </c>
      <c r="FX540" s="118">
        <v>56930</v>
      </c>
      <c r="FY540" s="35">
        <v>39</v>
      </c>
      <c r="FZ540" s="139"/>
      <c r="GA540" s="140"/>
      <c r="GB540" s="43"/>
      <c r="GC540" s="35" t="str">
        <f t="shared" si="3"/>
        <v>770元：56930</v>
      </c>
      <c r="GD540" s="38"/>
    </row>
    <row r="541" spans="155:186" s="35" customFormat="1" ht="17.25" thickBot="1">
      <c r="EY541" s="121"/>
      <c r="EZ541" s="122"/>
      <c r="FA541" s="35">
        <v>24</v>
      </c>
      <c r="FB541" s="41">
        <v>390</v>
      </c>
      <c r="FC541" s="42">
        <f t="shared" si="9"/>
        <v>34440</v>
      </c>
      <c r="FD541" s="99">
        <f t="shared" si="6"/>
        <v>34440</v>
      </c>
      <c r="FE541" s="46">
        <f t="shared" si="7"/>
        <v>99187.200000000012</v>
      </c>
      <c r="FF541" s="38">
        <f t="shared" si="8"/>
        <v>1838.7891473468771</v>
      </c>
      <c r="FG541" s="46">
        <f t="shared" si="10"/>
        <v>2594933.4743642779</v>
      </c>
      <c r="FH541" s="38">
        <f>SUM(FE$518:FE541)*$FE$502</f>
        <v>583223.75999999989</v>
      </c>
      <c r="FI541" s="38"/>
      <c r="FJ541" s="100"/>
      <c r="FK541" s="35">
        <v>39</v>
      </c>
      <c r="FL541" s="40">
        <f t="shared" si="1"/>
        <v>38.833333333333336</v>
      </c>
      <c r="FM541" s="35">
        <v>36</v>
      </c>
      <c r="FN541" s="35">
        <v>0</v>
      </c>
      <c r="FO541" s="40">
        <f t="shared" si="2"/>
        <v>36</v>
      </c>
      <c r="FQ541" s="35">
        <v>39</v>
      </c>
      <c r="FR541" s="35">
        <v>79</v>
      </c>
      <c r="FT541" s="35">
        <v>39</v>
      </c>
      <c r="FU541" s="35">
        <f>FT541*1.5+0.5</f>
        <v>59</v>
      </c>
      <c r="FW541" s="116">
        <v>770</v>
      </c>
      <c r="FX541" s="120">
        <v>53075</v>
      </c>
      <c r="FY541" s="35">
        <v>40</v>
      </c>
      <c r="FZ541" s="140"/>
      <c r="GA541" s="140"/>
      <c r="GB541" s="43"/>
    </row>
    <row r="542" spans="155:186" s="35" customFormat="1" ht="17.25" thickBot="1">
      <c r="EY542" s="121"/>
      <c r="EZ542" s="122"/>
      <c r="FA542" s="35">
        <v>25</v>
      </c>
      <c r="FB542" s="41">
        <v>410</v>
      </c>
      <c r="FC542" s="42">
        <f t="shared" si="9"/>
        <v>35470</v>
      </c>
      <c r="FD542" s="99">
        <f t="shared" si="6"/>
        <v>35470</v>
      </c>
      <c r="FE542" s="46">
        <f t="shared" si="7"/>
        <v>102153.59999999999</v>
      </c>
      <c r="FF542" s="38">
        <f t="shared" si="8"/>
        <v>1893.7819702785782</v>
      </c>
      <c r="FG542" s="46">
        <f t="shared" si="10"/>
        <v>2802778.1953091277</v>
      </c>
      <c r="FH542" s="38">
        <f>SUM(FE$518:FE542)*$FE$502</f>
        <v>618977.5199999999</v>
      </c>
      <c r="FI542" s="38"/>
      <c r="FJ542" s="100"/>
      <c r="FK542" s="35">
        <v>40</v>
      </c>
      <c r="FL542" s="40">
        <f t="shared" si="1"/>
        <v>39.833333333333336</v>
      </c>
      <c r="FM542" s="35">
        <v>36</v>
      </c>
      <c r="FN542" s="35">
        <v>0</v>
      </c>
      <c r="FO542" s="40">
        <f t="shared" si="2"/>
        <v>36</v>
      </c>
      <c r="FQ542" s="35">
        <v>40</v>
      </c>
      <c r="FR542" s="35">
        <v>81</v>
      </c>
      <c r="FT542" s="35">
        <v>40</v>
      </c>
      <c r="FU542" s="35">
        <f>FT542*1.5</f>
        <v>60</v>
      </c>
      <c r="FW542" s="116">
        <v>770</v>
      </c>
      <c r="FX542" s="120">
        <v>53075</v>
      </c>
      <c r="FY542" s="35">
        <v>40</v>
      </c>
      <c r="FZ542" s="140"/>
      <c r="GA542" s="140"/>
      <c r="GB542" s="43"/>
    </row>
    <row r="543" spans="155:186" s="35" customFormat="1" ht="17.25" thickBot="1">
      <c r="EY543" s="121"/>
      <c r="EZ543" s="122"/>
      <c r="FA543" s="35">
        <v>26</v>
      </c>
      <c r="FB543" s="41">
        <v>430</v>
      </c>
      <c r="FC543" s="42">
        <f t="shared" si="9"/>
        <v>36500</v>
      </c>
      <c r="FD543" s="99">
        <f t="shared" si="6"/>
        <v>36500</v>
      </c>
      <c r="FE543" s="46">
        <f t="shared" si="7"/>
        <v>105120</v>
      </c>
      <c r="FF543" s="38">
        <f t="shared" si="8"/>
        <v>1948.7747932102648</v>
      </c>
      <c r="FG543" s="46">
        <f t="shared" si="10"/>
        <v>3021958.0979147032</v>
      </c>
      <c r="FH543" s="38">
        <f>SUM(FE$518:FE543)*$FE$502</f>
        <v>655769.5199999999</v>
      </c>
      <c r="FI543" s="38"/>
      <c r="FJ543" s="100"/>
      <c r="FW543" s="116">
        <v>770</v>
      </c>
      <c r="FX543" s="120">
        <v>53075</v>
      </c>
      <c r="FY543" s="35">
        <v>40</v>
      </c>
      <c r="FZ543" s="140"/>
      <c r="GA543" s="140"/>
      <c r="GB543" s="43"/>
    </row>
    <row r="544" spans="155:186" s="35" customFormat="1" ht="17.25" thickBot="1">
      <c r="EY544" s="121"/>
      <c r="EZ544" s="122"/>
      <c r="FA544" s="35">
        <v>27</v>
      </c>
      <c r="FB544" s="41">
        <v>450</v>
      </c>
      <c r="FC544" s="42">
        <f t="shared" si="9"/>
        <v>37530</v>
      </c>
      <c r="FD544" s="99">
        <f t="shared" si="6"/>
        <v>37530</v>
      </c>
      <c r="FE544" s="46">
        <f t="shared" si="7"/>
        <v>108086.39999999999</v>
      </c>
      <c r="FF544" s="38">
        <f t="shared" si="8"/>
        <v>2003.7676161419367</v>
      </c>
      <c r="FG544" s="46">
        <f t="shared" si="10"/>
        <v>3252926.5894474336</v>
      </c>
      <c r="FH544" s="38">
        <f>SUM(FE$518:FE544)*$FE$502</f>
        <v>693599.75999999989</v>
      </c>
      <c r="FI544" s="38"/>
      <c r="FJ544" s="100"/>
      <c r="FL544" s="40"/>
      <c r="FW544" s="116">
        <v>770</v>
      </c>
      <c r="FX544" s="120">
        <v>53075</v>
      </c>
      <c r="FY544" s="35">
        <v>40</v>
      </c>
      <c r="FZ544" s="140"/>
      <c r="GA544" s="140"/>
      <c r="GB544" s="43"/>
    </row>
    <row r="545" spans="155:185" s="35" customFormat="1" ht="17.25" thickBot="1">
      <c r="EY545" s="121"/>
      <c r="EZ545" s="122"/>
      <c r="FA545" s="35">
        <v>28</v>
      </c>
      <c r="FB545" s="41">
        <v>475</v>
      </c>
      <c r="FC545" s="42">
        <f t="shared" si="9"/>
        <v>40270</v>
      </c>
      <c r="FD545" s="99">
        <f t="shared" si="6"/>
        <v>40270</v>
      </c>
      <c r="FE545" s="46">
        <f t="shared" si="7"/>
        <v>115977.59999999999</v>
      </c>
      <c r="FF545" s="38">
        <f t="shared" si="8"/>
        <v>2150.0592033582798</v>
      </c>
      <c r="FG545" s="46">
        <f t="shared" si="10"/>
        <v>3501171.3122286894</v>
      </c>
      <c r="FH545" s="38">
        <f>SUM(FE$518:FE545)*$FE$502</f>
        <v>734191.91999999981</v>
      </c>
      <c r="FI545" s="38"/>
      <c r="FJ545" s="100"/>
      <c r="FW545" s="116">
        <v>770</v>
      </c>
      <c r="FX545" s="120">
        <v>53075</v>
      </c>
      <c r="FY545" s="35">
        <v>40</v>
      </c>
      <c r="FZ545" s="140"/>
      <c r="GA545" s="140"/>
      <c r="GB545" s="43"/>
    </row>
    <row r="546" spans="155:185" s="35" customFormat="1" ht="17.25" thickBot="1">
      <c r="EY546" s="121"/>
      <c r="EZ546" s="122"/>
      <c r="FA546" s="35">
        <v>29</v>
      </c>
      <c r="FB546" s="41">
        <v>500</v>
      </c>
      <c r="FC546" s="42">
        <f t="shared" si="9"/>
        <v>41645</v>
      </c>
      <c r="FD546" s="99">
        <f t="shared" si="6"/>
        <v>41645</v>
      </c>
      <c r="FE546" s="46">
        <f t="shared" si="7"/>
        <v>119937.59999999999</v>
      </c>
      <c r="FF546" s="38">
        <f t="shared" si="8"/>
        <v>2223.4719524175744</v>
      </c>
      <c r="FG546" s="46">
        <f t="shared" si="10"/>
        <v>3763379.2366702547</v>
      </c>
      <c r="FH546" s="38">
        <f>SUM(FE$518:FE546)*$FE$502</f>
        <v>776170.07999999984</v>
      </c>
      <c r="FI546" s="38"/>
      <c r="FJ546" s="100"/>
      <c r="FW546" s="116">
        <v>770</v>
      </c>
      <c r="FX546" s="120">
        <v>53075</v>
      </c>
      <c r="FY546" s="35">
        <v>40</v>
      </c>
      <c r="FZ546" s="140"/>
      <c r="GA546" s="140"/>
      <c r="GB546" s="43"/>
    </row>
    <row r="547" spans="155:185" s="35" customFormat="1" ht="17.25" thickBot="1">
      <c r="EY547" s="121"/>
      <c r="EZ547" s="122"/>
      <c r="FA547" s="35">
        <v>30</v>
      </c>
      <c r="FB547" s="41">
        <v>525</v>
      </c>
      <c r="FC547" s="42">
        <f t="shared" si="9"/>
        <v>43015</v>
      </c>
      <c r="FD547" s="99">
        <f t="shared" si="6"/>
        <v>43015</v>
      </c>
      <c r="FE547" s="46">
        <f t="shared" si="7"/>
        <v>123883.20000000001</v>
      </c>
      <c r="FF547" s="38">
        <f t="shared" si="8"/>
        <v>2296.6177460257313</v>
      </c>
      <c r="FG547" s="46">
        <f t="shared" si="10"/>
        <v>4040094.223883091</v>
      </c>
      <c r="FH547" s="38">
        <f>SUM(FE$518:FE547)*$FE$502</f>
        <v>819529.2</v>
      </c>
      <c r="FI547" s="38"/>
      <c r="FJ547" s="100"/>
      <c r="FW547" s="116">
        <v>770</v>
      </c>
      <c r="FX547" s="120">
        <v>53075</v>
      </c>
      <c r="FY547" s="35">
        <v>40</v>
      </c>
      <c r="FZ547" s="140"/>
      <c r="GA547" s="140"/>
      <c r="GB547" s="43"/>
    </row>
    <row r="548" spans="155:185" s="35" customFormat="1" ht="17.25" thickBot="1">
      <c r="EY548" s="121"/>
      <c r="EZ548" s="122"/>
      <c r="FA548" s="35">
        <v>31</v>
      </c>
      <c r="FB548" s="41">
        <v>550</v>
      </c>
      <c r="FC548" s="42">
        <f t="shared" si="9"/>
        <v>44390</v>
      </c>
      <c r="FD548" s="99">
        <f t="shared" si="6"/>
        <v>44390</v>
      </c>
      <c r="FE548" s="46">
        <f t="shared" si="7"/>
        <v>127843.20000000001</v>
      </c>
      <c r="FF548" s="38">
        <f t="shared" si="8"/>
        <v>2370.0304950850259</v>
      </c>
      <c r="FG548" s="46">
        <f t="shared" si="10"/>
        <v>4331911.2233334994</v>
      </c>
      <c r="FH548" s="38">
        <f>SUM(FE$518:FE548)*$FE$502</f>
        <v>864274.32000000007</v>
      </c>
      <c r="FI548" s="38"/>
      <c r="FJ548" s="100"/>
      <c r="FW548" s="116">
        <v>770</v>
      </c>
      <c r="FX548" s="120">
        <v>53075</v>
      </c>
      <c r="FY548" s="35">
        <v>40</v>
      </c>
      <c r="FZ548" s="140"/>
      <c r="GA548" s="140"/>
      <c r="GB548" s="43"/>
    </row>
    <row r="549" spans="155:185" s="35" customFormat="1" ht="17.25" thickBot="1">
      <c r="EY549" s="121"/>
      <c r="EZ549" s="122"/>
      <c r="FA549" s="35">
        <v>32</v>
      </c>
      <c r="FB549" s="41">
        <v>575</v>
      </c>
      <c r="FC549" s="42">
        <f t="shared" si="9"/>
        <v>45760</v>
      </c>
      <c r="FD549" s="99">
        <f t="shared" si="6"/>
        <v>45760</v>
      </c>
      <c r="FE549" s="46">
        <f t="shared" si="7"/>
        <v>131788.79999999999</v>
      </c>
      <c r="FF549" s="38">
        <f t="shared" si="8"/>
        <v>2443.176288693212</v>
      </c>
      <c r="FG549" s="46">
        <f t="shared" si="10"/>
        <v>4639419.6485555321</v>
      </c>
      <c r="FH549" s="38">
        <f>SUM(FE$518:FE549)*$FE$502</f>
        <v>910400.39999999991</v>
      </c>
      <c r="FI549" s="38"/>
      <c r="FJ549" s="100"/>
      <c r="FW549" s="116">
        <v>770</v>
      </c>
      <c r="FX549" s="120">
        <v>53075</v>
      </c>
      <c r="FY549" s="35">
        <v>40</v>
      </c>
      <c r="FZ549" s="140"/>
      <c r="GA549" s="140"/>
      <c r="GB549" s="43"/>
    </row>
    <row r="550" spans="155:185" ht="17.25" thickBot="1">
      <c r="EY550" s="121"/>
      <c r="EZ550" s="122"/>
      <c r="FA550" s="35">
        <v>33</v>
      </c>
      <c r="FB550" s="41">
        <v>600</v>
      </c>
      <c r="FC550" s="42">
        <f t="shared" si="9"/>
        <v>47130</v>
      </c>
      <c r="FD550" s="99">
        <f t="shared" ref="FD550:FD581" si="11">FC550*(1+$FB$508)^(FA550-1)</f>
        <v>47130</v>
      </c>
      <c r="FE550" s="46">
        <f t="shared" ref="FE550:FE581" si="12">FD550*2*$FB$507*12</f>
        <v>135734.39999999999</v>
      </c>
      <c r="FF550" s="38">
        <f t="shared" ref="FF550:FF581" si="13">FV($FC$506/12,12,-FE550/12,,0)-FE550</f>
        <v>2516.3220823013689</v>
      </c>
      <c r="FG550" s="46">
        <f t="shared" si="10"/>
        <v>4963247.1565800551</v>
      </c>
      <c r="FH550" s="38">
        <f>SUM(FE$518:FE550)*$FE$502</f>
        <v>957907.44</v>
      </c>
      <c r="FI550" s="35"/>
      <c r="FJ550" s="100"/>
      <c r="FK550" s="35"/>
      <c r="FL550" s="35"/>
      <c r="FM550" s="35"/>
      <c r="FN550" s="35"/>
      <c r="FO550" s="35"/>
      <c r="FP550" s="35"/>
      <c r="FQ550" s="35"/>
      <c r="FR550" s="35"/>
      <c r="FS550" s="35"/>
      <c r="FT550" s="35"/>
      <c r="FU550" s="35"/>
      <c r="FV550" s="35"/>
      <c r="FW550" s="116">
        <v>770</v>
      </c>
      <c r="FX550" s="120">
        <v>53075</v>
      </c>
      <c r="FY550" s="35">
        <v>40</v>
      </c>
      <c r="FZ550" s="140"/>
      <c r="GA550" s="140"/>
      <c r="GB550" s="43"/>
      <c r="GC550" s="80"/>
    </row>
    <row r="551" spans="155:185" ht="17.25" thickBot="1">
      <c r="EY551" s="121"/>
      <c r="EZ551" s="122"/>
      <c r="FA551" s="32">
        <v>34</v>
      </c>
      <c r="FB551" s="66">
        <v>625</v>
      </c>
      <c r="FC551" s="67">
        <f t="shared" ref="FC551:FC582" si="14">IF(FB551&gt;$FB$503,FC550,VLOOKUP(FB551,salary,2))</f>
        <v>48505</v>
      </c>
      <c r="FD551" s="111">
        <f t="shared" si="11"/>
        <v>48505</v>
      </c>
      <c r="FE551" s="78">
        <f t="shared" si="12"/>
        <v>139694.39999999999</v>
      </c>
      <c r="FF551" s="69">
        <f t="shared" si="13"/>
        <v>2589.7348313606344</v>
      </c>
      <c r="FG551" s="78">
        <f t="shared" ref="FG551:FG582" si="15">FG550*(1+$FC$506)+FE551+FF551</f>
        <v>5304061.1776746176</v>
      </c>
      <c r="FH551" s="69">
        <f>SUM(FE$518:FE551)*$FE$502</f>
        <v>1006800.4799999999</v>
      </c>
      <c r="FJ551" s="74"/>
      <c r="FW551" s="116">
        <v>770</v>
      </c>
      <c r="FX551" s="120">
        <v>53075</v>
      </c>
      <c r="FY551" s="32">
        <v>40</v>
      </c>
      <c r="FZ551" s="140"/>
      <c r="GA551" s="140"/>
      <c r="GB551" s="68"/>
      <c r="GC551" s="80"/>
    </row>
    <row r="552" spans="155:185" s="80" customFormat="1" ht="17.25" thickBot="1">
      <c r="EY552" s="121"/>
      <c r="EZ552" s="122"/>
      <c r="FA552" s="32">
        <v>35</v>
      </c>
      <c r="FB552" s="66">
        <v>650</v>
      </c>
      <c r="FC552" s="67">
        <f t="shared" si="14"/>
        <v>49875</v>
      </c>
      <c r="FD552" s="111">
        <f t="shared" si="11"/>
        <v>49875</v>
      </c>
      <c r="FE552" s="78">
        <f t="shared" si="12"/>
        <v>143640</v>
      </c>
      <c r="FF552" s="69">
        <f t="shared" si="13"/>
        <v>2662.8806249688205</v>
      </c>
      <c r="FG552" s="78">
        <f t="shared" si="15"/>
        <v>5662526.5054065706</v>
      </c>
      <c r="FH552" s="69">
        <f>SUM(FE$518:FE552)*$FE$502</f>
        <v>1057074.48</v>
      </c>
      <c r="FK552" s="32"/>
      <c r="FL552" s="32"/>
      <c r="FM552" s="32"/>
      <c r="FN552" s="32"/>
      <c r="FO552" s="32"/>
      <c r="FP552" s="32"/>
      <c r="FQ552" s="32"/>
      <c r="FR552" s="32"/>
      <c r="FS552" s="32"/>
      <c r="FT552" s="32"/>
      <c r="FU552" s="32"/>
      <c r="FV552" s="32"/>
      <c r="FW552" s="116">
        <v>770</v>
      </c>
      <c r="FX552" s="120">
        <v>53075</v>
      </c>
      <c r="FY552" s="32">
        <v>40</v>
      </c>
      <c r="FZ552" s="140"/>
      <c r="GA552" s="140"/>
      <c r="GB552" s="68"/>
    </row>
    <row r="553" spans="155:185" s="80" customFormat="1" ht="17.25" thickBot="1">
      <c r="EY553" s="121"/>
      <c r="EZ553" s="122"/>
      <c r="FA553" s="32">
        <v>36</v>
      </c>
      <c r="FB553" s="66">
        <v>680</v>
      </c>
      <c r="FC553" s="67">
        <f t="shared" si="14"/>
        <v>51250</v>
      </c>
      <c r="FD553" s="111">
        <f t="shared" si="11"/>
        <v>51250</v>
      </c>
      <c r="FE553" s="78">
        <f t="shared" si="12"/>
        <v>147600</v>
      </c>
      <c r="FF553" s="69">
        <f t="shared" si="13"/>
        <v>2736.2933740281151</v>
      </c>
      <c r="FG553" s="78">
        <f t="shared" si="15"/>
        <v>6039363.8589968616</v>
      </c>
      <c r="FH553" s="69">
        <f>SUM(FE$518:FE553)*$FE$502</f>
        <v>1108734.4799999997</v>
      </c>
      <c r="FK553" s="32"/>
      <c r="FL553" s="32"/>
      <c r="FM553" s="32"/>
      <c r="FN553" s="32"/>
      <c r="FO553" s="32"/>
      <c r="FP553" s="32"/>
      <c r="FQ553" s="32"/>
      <c r="FR553" s="32"/>
      <c r="FS553" s="32"/>
      <c r="FT553" s="32"/>
      <c r="FU553" s="32"/>
      <c r="FV553" s="32"/>
      <c r="FW553" s="116">
        <v>770</v>
      </c>
      <c r="FX553" s="120">
        <v>53075</v>
      </c>
      <c r="FY553" s="32">
        <v>40</v>
      </c>
      <c r="FZ553" s="140"/>
      <c r="GA553" s="140"/>
      <c r="GB553" s="68"/>
    </row>
    <row r="554" spans="155:185" s="80" customFormat="1" ht="17.25" thickBot="1">
      <c r="EY554" s="121"/>
      <c r="EZ554" s="122"/>
      <c r="FA554" s="32">
        <v>37</v>
      </c>
      <c r="FB554" s="66">
        <v>710</v>
      </c>
      <c r="FC554" s="67">
        <f t="shared" si="14"/>
        <v>53305</v>
      </c>
      <c r="FD554" s="111">
        <f t="shared" si="11"/>
        <v>53305</v>
      </c>
      <c r="FE554" s="78">
        <f t="shared" si="12"/>
        <v>153518.39999999999</v>
      </c>
      <c r="FF554" s="69">
        <f t="shared" si="13"/>
        <v>2846.0120644403505</v>
      </c>
      <c r="FG554" s="78">
        <f t="shared" si="15"/>
        <v>6437302.8254211769</v>
      </c>
      <c r="FH554" s="69">
        <f>SUM(FE$518:FE554)*$FE$502</f>
        <v>1162465.92</v>
      </c>
      <c r="FK554" s="32"/>
      <c r="FL554" s="32"/>
      <c r="FM554" s="32"/>
      <c r="FN554" s="32"/>
      <c r="FO554" s="32"/>
      <c r="FP554" s="32"/>
      <c r="FQ554" s="32"/>
      <c r="FR554" s="32"/>
      <c r="FS554" s="32"/>
      <c r="FT554" s="32"/>
      <c r="FU554" s="32"/>
      <c r="FV554" s="32"/>
      <c r="FW554" s="116">
        <v>770</v>
      </c>
      <c r="FX554" s="120">
        <v>53075</v>
      </c>
      <c r="FY554" s="32">
        <v>40</v>
      </c>
      <c r="FZ554" s="140"/>
      <c r="GA554" s="140"/>
      <c r="GB554" s="68"/>
      <c r="GC554" s="32"/>
    </row>
    <row r="555" spans="155:185" s="80" customFormat="1" ht="17.25" thickBot="1">
      <c r="EY555" s="121"/>
      <c r="EZ555" s="122"/>
      <c r="FA555" s="32">
        <v>38</v>
      </c>
      <c r="FB555" s="66">
        <v>740</v>
      </c>
      <c r="FC555" s="67">
        <f t="shared" si="14"/>
        <v>53990</v>
      </c>
      <c r="FD555" s="111">
        <f t="shared" si="11"/>
        <v>53990</v>
      </c>
      <c r="FE555" s="78">
        <f t="shared" si="12"/>
        <v>155491.20000000001</v>
      </c>
      <c r="FF555" s="69">
        <f t="shared" si="13"/>
        <v>2882.584961244429</v>
      </c>
      <c r="FG555" s="78">
        <f t="shared" si="15"/>
        <v>6853168.7233992694</v>
      </c>
      <c r="FH555" s="69">
        <f>SUM(FE$518:FE555)*$FE$502</f>
        <v>1216887.8399999999</v>
      </c>
      <c r="FK555" s="32"/>
      <c r="FL555" s="32"/>
      <c r="FM555" s="32"/>
      <c r="FN555" s="32"/>
      <c r="FO555" s="32"/>
      <c r="FP555" s="32"/>
      <c r="FQ555" s="32"/>
      <c r="FR555" s="32"/>
      <c r="FS555" s="32"/>
      <c r="FT555" s="32"/>
      <c r="FU555" s="32"/>
      <c r="FV555" s="32"/>
      <c r="FW555" s="116">
        <v>770</v>
      </c>
      <c r="FX555" s="120">
        <v>53075</v>
      </c>
      <c r="FY555" s="32">
        <v>40</v>
      </c>
      <c r="FZ555" s="140"/>
      <c r="GA555" s="140"/>
      <c r="GB555" s="68"/>
      <c r="GC555" s="32"/>
    </row>
    <row r="556" spans="155:185" ht="17.25" thickBot="1">
      <c r="EY556" s="121"/>
      <c r="EZ556" s="122"/>
      <c r="FA556" s="32">
        <v>39</v>
      </c>
      <c r="FB556" s="66">
        <v>770</v>
      </c>
      <c r="FC556" s="67">
        <v>56930</v>
      </c>
      <c r="FD556" s="111">
        <f t="shared" si="11"/>
        <v>56930</v>
      </c>
      <c r="FE556" s="78">
        <f t="shared" si="12"/>
        <v>163958.39999999999</v>
      </c>
      <c r="FF556" s="69">
        <f t="shared" si="13"/>
        <v>3039.5547665057529</v>
      </c>
      <c r="FG556" s="78">
        <f t="shared" si="15"/>
        <v>7294293.4271017471</v>
      </c>
      <c r="FH556" s="69">
        <f>SUM(FE$518:FE556)*$FE$502</f>
        <v>1274273.2799999998</v>
      </c>
      <c r="FW556" s="116">
        <v>770</v>
      </c>
      <c r="FX556" s="120">
        <v>53075</v>
      </c>
      <c r="FY556" s="32">
        <v>40</v>
      </c>
      <c r="FZ556" s="140"/>
      <c r="GA556" s="140"/>
      <c r="GB556" s="68"/>
    </row>
    <row r="557" spans="155:185" ht="17.25" thickBot="1">
      <c r="EY557" s="123"/>
      <c r="EZ557" s="122"/>
      <c r="FA557" s="32">
        <v>40</v>
      </c>
      <c r="FB557" s="66">
        <v>770</v>
      </c>
      <c r="FC557" s="67">
        <f t="shared" si="14"/>
        <v>53075</v>
      </c>
      <c r="FD557" s="111">
        <f t="shared" si="11"/>
        <v>53075</v>
      </c>
      <c r="FE557" s="78">
        <f t="shared" si="12"/>
        <v>152856</v>
      </c>
      <c r="FF557" s="69">
        <f t="shared" si="13"/>
        <v>2833.7321136886312</v>
      </c>
      <c r="FG557" s="78">
        <f t="shared" si="15"/>
        <v>7741754.8962995056</v>
      </c>
      <c r="FH557" s="69">
        <f>SUM(FE$518:FE557)*$FE$502</f>
        <v>1327772.8799999999</v>
      </c>
      <c r="FW557" s="116">
        <v>770</v>
      </c>
      <c r="FX557" s="120">
        <v>53075</v>
      </c>
      <c r="FY557" s="32">
        <v>40</v>
      </c>
      <c r="FZ557" s="140"/>
      <c r="GA557" s="140"/>
      <c r="GB557" s="68"/>
    </row>
    <row r="558" spans="155:185" ht="17.25" thickBot="1">
      <c r="EY558" s="123"/>
      <c r="EZ558" s="122"/>
      <c r="FA558" s="32">
        <v>41</v>
      </c>
      <c r="FB558" s="66">
        <v>770</v>
      </c>
      <c r="FC558" s="67">
        <f t="shared" si="14"/>
        <v>53075</v>
      </c>
      <c r="FD558" s="111">
        <f t="shared" si="11"/>
        <v>53075</v>
      </c>
      <c r="FE558" s="78">
        <f t="shared" si="12"/>
        <v>152856</v>
      </c>
      <c r="FF558" s="69">
        <f t="shared" si="13"/>
        <v>2833.7321136886312</v>
      </c>
      <c r="FG558" s="78">
        <f t="shared" si="15"/>
        <v>8207114.8242651746</v>
      </c>
      <c r="FH558" s="69">
        <f>SUM(FE$518:FE558)*$FE$502</f>
        <v>1381272.4799999997</v>
      </c>
      <c r="FI558" s="69"/>
      <c r="FW558" s="116">
        <v>770</v>
      </c>
      <c r="FX558" s="120">
        <v>53075</v>
      </c>
      <c r="FY558" s="32">
        <v>40</v>
      </c>
      <c r="FZ558" s="140"/>
      <c r="GA558" s="140"/>
      <c r="GB558" s="68"/>
    </row>
    <row r="559" spans="155:185" ht="17.25" thickBot="1">
      <c r="EY559" s="123"/>
      <c r="EZ559" s="122"/>
      <c r="FA559" s="32">
        <v>42</v>
      </c>
      <c r="FB559" s="66">
        <v>770</v>
      </c>
      <c r="FC559" s="67">
        <f t="shared" si="14"/>
        <v>53075</v>
      </c>
      <c r="FD559" s="111">
        <f t="shared" si="11"/>
        <v>53075</v>
      </c>
      <c r="FE559" s="78">
        <f t="shared" si="12"/>
        <v>152856</v>
      </c>
      <c r="FF559" s="69">
        <f t="shared" si="13"/>
        <v>2833.7321136886312</v>
      </c>
      <c r="FG559" s="78">
        <f t="shared" si="15"/>
        <v>8691089.1493494716</v>
      </c>
      <c r="FH559" s="69">
        <f>SUM(FE$518:FE559)*$FE$502</f>
        <v>1434772.0799999998</v>
      </c>
      <c r="FI559" s="69"/>
      <c r="FW559" s="116">
        <v>770</v>
      </c>
      <c r="FX559" s="120">
        <v>53075</v>
      </c>
      <c r="FY559" s="32">
        <v>40</v>
      </c>
      <c r="FZ559" s="140"/>
      <c r="GA559" s="140"/>
      <c r="GB559" s="68"/>
    </row>
    <row r="560" spans="155:185" ht="17.25" thickBot="1">
      <c r="EY560" s="123"/>
      <c r="EZ560" s="122"/>
      <c r="FA560" s="32">
        <v>43</v>
      </c>
      <c r="FB560" s="66">
        <v>770</v>
      </c>
      <c r="FC560" s="67">
        <f t="shared" si="14"/>
        <v>53075</v>
      </c>
      <c r="FD560" s="111">
        <f t="shared" si="11"/>
        <v>53075</v>
      </c>
      <c r="FE560" s="78">
        <f t="shared" si="12"/>
        <v>152856</v>
      </c>
      <c r="FF560" s="69">
        <f t="shared" si="13"/>
        <v>2833.7321136886312</v>
      </c>
      <c r="FG560" s="78">
        <f t="shared" si="15"/>
        <v>9194422.4474371392</v>
      </c>
      <c r="FH560" s="69">
        <f>SUM(FE$518:FE560)*$FE$502</f>
        <v>1488271.68</v>
      </c>
      <c r="FI560" s="69"/>
      <c r="FW560" s="116">
        <v>770</v>
      </c>
      <c r="FX560" s="120">
        <v>53075</v>
      </c>
      <c r="FY560" s="32">
        <v>40</v>
      </c>
      <c r="FZ560" s="140"/>
      <c r="GA560" s="140"/>
      <c r="GB560" s="68"/>
    </row>
    <row r="561" spans="155:184" ht="17.25" thickBot="1">
      <c r="EY561" s="123"/>
      <c r="EZ561" s="122"/>
      <c r="FA561" s="32">
        <v>44</v>
      </c>
      <c r="FB561" s="66">
        <v>770</v>
      </c>
      <c r="FC561" s="67">
        <f t="shared" si="14"/>
        <v>53075</v>
      </c>
      <c r="FD561" s="111">
        <f t="shared" si="11"/>
        <v>53075</v>
      </c>
      <c r="FE561" s="78">
        <f t="shared" si="12"/>
        <v>152856</v>
      </c>
      <c r="FF561" s="69">
        <f t="shared" si="13"/>
        <v>2833.7321136886312</v>
      </c>
      <c r="FG561" s="78">
        <f t="shared" si="15"/>
        <v>9717889.0774483141</v>
      </c>
      <c r="FH561" s="69">
        <f>SUM(FE$518:FE561)*$FE$502</f>
        <v>1541771.2799999998</v>
      </c>
      <c r="FI561" s="69"/>
      <c r="FW561" s="116">
        <v>770</v>
      </c>
      <c r="FX561" s="120">
        <v>53075</v>
      </c>
      <c r="FY561" s="32">
        <v>40</v>
      </c>
      <c r="FZ561" s="140"/>
      <c r="GA561" s="140"/>
      <c r="GB561" s="68"/>
    </row>
    <row r="562" spans="155:184" ht="17.25" thickBot="1">
      <c r="EY562" s="123"/>
      <c r="EZ562" s="122"/>
      <c r="FA562" s="32">
        <v>45</v>
      </c>
      <c r="FB562" s="66">
        <v>770</v>
      </c>
      <c r="FC562" s="67">
        <f t="shared" si="14"/>
        <v>53075</v>
      </c>
      <c r="FD562" s="111">
        <f t="shared" si="11"/>
        <v>53075</v>
      </c>
      <c r="FE562" s="78">
        <f t="shared" si="12"/>
        <v>152856</v>
      </c>
      <c r="FF562" s="69">
        <f t="shared" si="13"/>
        <v>2833.7321136886312</v>
      </c>
      <c r="FG562" s="78">
        <f t="shared" si="15"/>
        <v>10262294.372659937</v>
      </c>
      <c r="FH562" s="69">
        <f>SUM(FE$518:FE562)*$FE$502</f>
        <v>1595270.88</v>
      </c>
      <c r="FI562" s="69"/>
      <c r="FW562" s="116">
        <v>770</v>
      </c>
      <c r="FX562" s="120">
        <v>53075</v>
      </c>
      <c r="FY562" s="32">
        <v>40</v>
      </c>
      <c r="FZ562" s="140"/>
      <c r="GA562" s="140"/>
      <c r="GB562" s="68"/>
    </row>
    <row r="563" spans="155:184" ht="17.25" thickBot="1">
      <c r="EY563" s="123"/>
      <c r="EZ563" s="122"/>
      <c r="FA563" s="32">
        <v>46</v>
      </c>
      <c r="FB563" s="66">
        <v>770</v>
      </c>
      <c r="FC563" s="67">
        <f t="shared" si="14"/>
        <v>53075</v>
      </c>
      <c r="FD563" s="111">
        <f t="shared" si="11"/>
        <v>53075</v>
      </c>
      <c r="FE563" s="78">
        <f t="shared" si="12"/>
        <v>152856</v>
      </c>
      <c r="FF563" s="69">
        <f t="shared" si="13"/>
        <v>2833.7321136886312</v>
      </c>
      <c r="FG563" s="78">
        <f t="shared" si="15"/>
        <v>10828475.879680024</v>
      </c>
      <c r="FH563" s="69">
        <f>SUM(FE$518:FE563)*$FE$502</f>
        <v>1648770.4799999997</v>
      </c>
      <c r="FI563" s="69"/>
      <c r="FW563" s="116">
        <v>770</v>
      </c>
      <c r="FX563" s="120">
        <v>53075</v>
      </c>
      <c r="FY563" s="32">
        <v>40</v>
      </c>
      <c r="FZ563" s="140"/>
      <c r="GA563" s="140"/>
      <c r="GB563" s="68"/>
    </row>
    <row r="564" spans="155:184" ht="17.25" thickBot="1">
      <c r="EY564" s="123"/>
      <c r="EZ564" s="122"/>
      <c r="FA564" s="32">
        <v>47</v>
      </c>
      <c r="FB564" s="66">
        <v>770</v>
      </c>
      <c r="FC564" s="67">
        <f t="shared" si="14"/>
        <v>53075</v>
      </c>
      <c r="FD564" s="111">
        <f t="shared" si="11"/>
        <v>53075</v>
      </c>
      <c r="FE564" s="78">
        <f t="shared" si="12"/>
        <v>152856</v>
      </c>
      <c r="FF564" s="69">
        <f t="shared" si="13"/>
        <v>2833.7321136886312</v>
      </c>
      <c r="FG564" s="78">
        <f t="shared" si="15"/>
        <v>11417304.646980915</v>
      </c>
      <c r="FH564" s="69">
        <f>SUM(FE$518:FE564)*$FE$502</f>
        <v>1702270.0799999998</v>
      </c>
      <c r="FI564" s="69"/>
      <c r="FW564" s="116">
        <v>770</v>
      </c>
      <c r="FX564" s="120">
        <v>53075</v>
      </c>
      <c r="FY564" s="32">
        <v>40</v>
      </c>
      <c r="FZ564" s="140"/>
      <c r="GA564" s="140"/>
      <c r="GB564" s="68"/>
    </row>
    <row r="565" spans="155:184" ht="17.25" thickBot="1">
      <c r="EY565" s="123"/>
      <c r="EZ565" s="122"/>
      <c r="FA565" s="32">
        <v>48</v>
      </c>
      <c r="FB565" s="66">
        <v>770</v>
      </c>
      <c r="FC565" s="67">
        <f t="shared" si="14"/>
        <v>53075</v>
      </c>
      <c r="FD565" s="111">
        <f t="shared" si="11"/>
        <v>53075</v>
      </c>
      <c r="FE565" s="78">
        <f t="shared" si="12"/>
        <v>152856</v>
      </c>
      <c r="FF565" s="69">
        <f t="shared" si="13"/>
        <v>2833.7321136886312</v>
      </c>
      <c r="FG565" s="78">
        <f t="shared" si="15"/>
        <v>12029686.56497384</v>
      </c>
      <c r="FH565" s="69">
        <f>SUM(FE$518:FE565)*$FE$502</f>
        <v>1755769.68</v>
      </c>
      <c r="FW565" s="116">
        <v>770</v>
      </c>
      <c r="FX565" s="120">
        <v>53075</v>
      </c>
      <c r="FY565" s="32">
        <v>40</v>
      </c>
      <c r="FZ565" s="140"/>
      <c r="GA565" s="140"/>
      <c r="GB565" s="68"/>
    </row>
    <row r="566" spans="155:184" ht="17.25" thickBot="1">
      <c r="EY566" s="123"/>
      <c r="EZ566" s="122"/>
      <c r="FA566" s="32">
        <v>49</v>
      </c>
      <c r="FB566" s="66">
        <v>770</v>
      </c>
      <c r="FC566" s="67">
        <f t="shared" si="14"/>
        <v>53075</v>
      </c>
      <c r="FD566" s="111">
        <f t="shared" si="11"/>
        <v>53075</v>
      </c>
      <c r="FE566" s="78">
        <f t="shared" si="12"/>
        <v>152856</v>
      </c>
      <c r="FF566" s="69">
        <f t="shared" si="13"/>
        <v>2833.7321136886312</v>
      </c>
      <c r="FG566" s="78">
        <f t="shared" si="15"/>
        <v>12666563.759686483</v>
      </c>
      <c r="FH566" s="69">
        <f>SUM(FE$518:FE566)*$FE$502</f>
        <v>1809269.2799999998</v>
      </c>
      <c r="FW566" s="116">
        <v>770</v>
      </c>
      <c r="FX566" s="120">
        <v>53075</v>
      </c>
      <c r="FY566" s="32">
        <v>40</v>
      </c>
      <c r="FZ566" s="140"/>
      <c r="GA566" s="140"/>
      <c r="GB566" s="68"/>
    </row>
    <row r="567" spans="155:184" ht="17.25" thickBot="1">
      <c r="EY567" s="123"/>
      <c r="EZ567" s="122"/>
      <c r="FA567" s="32">
        <v>50</v>
      </c>
      <c r="FB567" s="66">
        <v>770</v>
      </c>
      <c r="FC567" s="67">
        <f t="shared" si="14"/>
        <v>53075</v>
      </c>
      <c r="FD567" s="111">
        <f t="shared" si="11"/>
        <v>53075</v>
      </c>
      <c r="FE567" s="78">
        <f t="shared" si="12"/>
        <v>152856</v>
      </c>
      <c r="FF567" s="69">
        <f t="shared" si="13"/>
        <v>2833.7321136886312</v>
      </c>
      <c r="FG567" s="78">
        <f t="shared" si="15"/>
        <v>13328916.042187631</v>
      </c>
      <c r="FH567" s="69">
        <f>SUM(FE$518:FE567)*$FE$502</f>
        <v>1862768.88</v>
      </c>
      <c r="FW567" s="116">
        <v>770</v>
      </c>
      <c r="FX567" s="120">
        <v>53075</v>
      </c>
      <c r="FY567" s="32">
        <v>40</v>
      </c>
      <c r="FZ567" s="140"/>
      <c r="GA567" s="140"/>
      <c r="GB567" s="68"/>
    </row>
    <row r="568" spans="155:184" ht="17.25" thickBot="1">
      <c r="EY568" s="123"/>
      <c r="EZ568" s="122"/>
      <c r="FA568" s="32">
        <v>51</v>
      </c>
      <c r="FB568" s="66">
        <v>770</v>
      </c>
      <c r="FC568" s="67">
        <f t="shared" si="14"/>
        <v>53075</v>
      </c>
      <c r="FD568" s="111">
        <f t="shared" si="11"/>
        <v>53075</v>
      </c>
      <c r="FE568" s="78">
        <f t="shared" si="12"/>
        <v>152856</v>
      </c>
      <c r="FF568" s="69">
        <f t="shared" si="13"/>
        <v>2833.7321136886312</v>
      </c>
      <c r="FG568" s="78">
        <f t="shared" si="15"/>
        <v>14017762.415988825</v>
      </c>
      <c r="FH568" s="69">
        <f>SUM(FE$518:FE568)*$FE$502</f>
        <v>1916268.4799999997</v>
      </c>
      <c r="FW568" s="116">
        <v>770</v>
      </c>
      <c r="FX568" s="120">
        <v>53075</v>
      </c>
      <c r="FY568" s="32">
        <v>40</v>
      </c>
      <c r="FZ568" s="140"/>
      <c r="GA568" s="140"/>
      <c r="GB568" s="68"/>
    </row>
    <row r="569" spans="155:184" ht="17.25" thickBot="1">
      <c r="EY569" s="123"/>
      <c r="EZ569" s="122"/>
      <c r="FA569" s="32">
        <v>52</v>
      </c>
      <c r="FB569" s="66">
        <v>770</v>
      </c>
      <c r="FC569" s="67">
        <f t="shared" si="14"/>
        <v>53075</v>
      </c>
      <c r="FD569" s="111">
        <f t="shared" si="11"/>
        <v>53075</v>
      </c>
      <c r="FE569" s="78">
        <f t="shared" si="12"/>
        <v>152856</v>
      </c>
      <c r="FF569" s="69">
        <f t="shared" si="13"/>
        <v>2833.7321136886312</v>
      </c>
      <c r="FG569" s="78">
        <f t="shared" si="15"/>
        <v>14734162.644742068</v>
      </c>
      <c r="FH569" s="69">
        <f>SUM(FE$518:FE569)*$FE$502</f>
        <v>1969768.0799999998</v>
      </c>
      <c r="FW569" s="116">
        <v>770</v>
      </c>
      <c r="FX569" s="120">
        <v>53075</v>
      </c>
      <c r="FY569" s="32">
        <v>40</v>
      </c>
      <c r="FZ569" s="140"/>
      <c r="GA569" s="140"/>
      <c r="GB569" s="68"/>
    </row>
    <row r="570" spans="155:184" ht="17.25" thickBot="1">
      <c r="EY570" s="123"/>
      <c r="EZ570" s="122"/>
      <c r="FA570" s="32">
        <v>53</v>
      </c>
      <c r="FB570" s="66">
        <v>770</v>
      </c>
      <c r="FC570" s="67">
        <f t="shared" si="14"/>
        <v>53075</v>
      </c>
      <c r="FD570" s="111">
        <f t="shared" si="11"/>
        <v>53075</v>
      </c>
      <c r="FE570" s="78">
        <f t="shared" si="12"/>
        <v>152856</v>
      </c>
      <c r="FF570" s="69">
        <f t="shared" si="13"/>
        <v>2833.7321136886312</v>
      </c>
      <c r="FG570" s="78">
        <f t="shared" si="15"/>
        <v>15479218.882645441</v>
      </c>
      <c r="FH570" s="69">
        <f>SUM(FE$518:FE570)*$FE$502</f>
        <v>2023267.6799999997</v>
      </c>
      <c r="FW570" s="116">
        <v>770</v>
      </c>
      <c r="FX570" s="120">
        <v>53075</v>
      </c>
      <c r="FY570" s="32">
        <v>40</v>
      </c>
      <c r="FZ570" s="140"/>
      <c r="GA570" s="140"/>
      <c r="GB570" s="68"/>
    </row>
    <row r="571" spans="155:184" ht="17.25" thickBot="1">
      <c r="EY571" s="123"/>
      <c r="EZ571" s="122"/>
      <c r="FA571" s="32">
        <v>54</v>
      </c>
      <c r="FB571" s="66">
        <v>770</v>
      </c>
      <c r="FC571" s="67">
        <f t="shared" si="14"/>
        <v>53075</v>
      </c>
      <c r="FD571" s="111">
        <f t="shared" si="11"/>
        <v>53075</v>
      </c>
      <c r="FE571" s="78">
        <f t="shared" si="12"/>
        <v>152856</v>
      </c>
      <c r="FF571" s="69">
        <f t="shared" si="13"/>
        <v>2833.7321136886312</v>
      </c>
      <c r="FG571" s="78">
        <f t="shared" si="15"/>
        <v>16254077.370064948</v>
      </c>
      <c r="FH571" s="69">
        <f>SUM(FE$518:FE571)*$FE$502</f>
        <v>2076767.2799999998</v>
      </c>
      <c r="FW571" s="116">
        <v>770</v>
      </c>
      <c r="FX571" s="120">
        <v>53075</v>
      </c>
      <c r="FY571" s="32">
        <v>40</v>
      </c>
      <c r="FZ571" s="140"/>
      <c r="GA571" s="140"/>
      <c r="GB571" s="68"/>
    </row>
    <row r="572" spans="155:184" ht="17.25" thickBot="1">
      <c r="EY572" s="123"/>
      <c r="EZ572" s="122"/>
      <c r="FA572" s="32">
        <v>55</v>
      </c>
      <c r="FB572" s="66">
        <v>770</v>
      </c>
      <c r="FC572" s="67">
        <f t="shared" si="14"/>
        <v>53075</v>
      </c>
      <c r="FD572" s="111">
        <f t="shared" si="11"/>
        <v>53075</v>
      </c>
      <c r="FE572" s="78">
        <f t="shared" si="12"/>
        <v>152856</v>
      </c>
      <c r="FF572" s="69">
        <f t="shared" si="13"/>
        <v>2833.7321136886312</v>
      </c>
      <c r="FG572" s="78">
        <f t="shared" si="15"/>
        <v>17059930.196981236</v>
      </c>
      <c r="FH572" s="69">
        <f>SUM(FE$518:FE572)*$FE$502</f>
        <v>2130266.88</v>
      </c>
      <c r="FW572" s="116">
        <v>770</v>
      </c>
      <c r="FX572" s="120">
        <v>53075</v>
      </c>
      <c r="FY572" s="32">
        <v>40</v>
      </c>
      <c r="FZ572" s="140"/>
      <c r="GA572" s="140"/>
      <c r="GB572" s="68"/>
    </row>
    <row r="573" spans="155:184" ht="17.25" thickBot="1">
      <c r="EY573" s="123"/>
      <c r="EZ573" s="122"/>
      <c r="FA573" s="32">
        <v>56</v>
      </c>
      <c r="FB573" s="66">
        <v>770</v>
      </c>
      <c r="FC573" s="67">
        <f t="shared" si="14"/>
        <v>53075</v>
      </c>
      <c r="FD573" s="111">
        <f t="shared" si="11"/>
        <v>53075</v>
      </c>
      <c r="FE573" s="78">
        <f t="shared" si="12"/>
        <v>152856</v>
      </c>
      <c r="FF573" s="69">
        <f t="shared" si="13"/>
        <v>2833.7321136886312</v>
      </c>
      <c r="FG573" s="78">
        <f t="shared" si="15"/>
        <v>17898017.136974175</v>
      </c>
      <c r="FH573" s="69">
        <f>SUM(FE$518:FE573)*$FE$502</f>
        <v>2183766.48</v>
      </c>
      <c r="FW573" s="116">
        <v>770</v>
      </c>
      <c r="FX573" s="120">
        <v>53075</v>
      </c>
      <c r="FY573" s="32">
        <v>40</v>
      </c>
      <c r="FZ573" s="140"/>
      <c r="GA573" s="140"/>
      <c r="GB573" s="68"/>
    </row>
    <row r="574" spans="155:184" ht="17.25" thickBot="1">
      <c r="EY574" s="123"/>
      <c r="EZ574" s="122"/>
      <c r="FA574" s="32">
        <v>57</v>
      </c>
      <c r="FB574" s="66">
        <v>770</v>
      </c>
      <c r="FC574" s="67">
        <f t="shared" si="14"/>
        <v>53075</v>
      </c>
      <c r="FD574" s="111">
        <f t="shared" si="11"/>
        <v>53075</v>
      </c>
      <c r="FE574" s="78">
        <f t="shared" si="12"/>
        <v>152856</v>
      </c>
      <c r="FF574" s="69">
        <f t="shared" si="13"/>
        <v>2833.7321136886312</v>
      </c>
      <c r="FG574" s="78">
        <f t="shared" si="15"/>
        <v>18769627.55456683</v>
      </c>
      <c r="FH574" s="69">
        <f>SUM(FE$518:FE574)*$FE$502</f>
        <v>2237266.0799999996</v>
      </c>
      <c r="FW574" s="116">
        <v>770</v>
      </c>
      <c r="FX574" s="120">
        <v>53075</v>
      </c>
      <c r="FY574" s="32">
        <v>40</v>
      </c>
      <c r="FZ574" s="140"/>
      <c r="GA574" s="140"/>
      <c r="GB574" s="68"/>
    </row>
    <row r="575" spans="155:184" ht="17.25" thickBot="1">
      <c r="EY575" s="123"/>
      <c r="EZ575" s="122"/>
      <c r="FA575" s="32">
        <v>58</v>
      </c>
      <c r="FB575" s="66">
        <v>770</v>
      </c>
      <c r="FC575" s="67">
        <f t="shared" si="14"/>
        <v>53075</v>
      </c>
      <c r="FD575" s="111">
        <f t="shared" si="11"/>
        <v>53075</v>
      </c>
      <c r="FE575" s="78">
        <f t="shared" si="12"/>
        <v>152856</v>
      </c>
      <c r="FF575" s="69">
        <f t="shared" si="13"/>
        <v>2833.7321136886312</v>
      </c>
      <c r="FG575" s="78">
        <f t="shared" si="15"/>
        <v>19676102.388863195</v>
      </c>
      <c r="FH575" s="69">
        <f>SUM(FE$518:FE575)*$FE$502</f>
        <v>2290765.6799999997</v>
      </c>
      <c r="FW575" s="116">
        <v>770</v>
      </c>
      <c r="FX575" s="120">
        <v>53075</v>
      </c>
      <c r="FY575" s="32">
        <v>40</v>
      </c>
      <c r="FZ575" s="140"/>
      <c r="GA575" s="140"/>
      <c r="GB575" s="68"/>
    </row>
    <row r="576" spans="155:184" ht="17.25" thickBot="1">
      <c r="EY576" s="123"/>
      <c r="EZ576" s="122"/>
      <c r="FA576" s="32">
        <v>59</v>
      </c>
      <c r="FB576" s="66">
        <v>770</v>
      </c>
      <c r="FC576" s="67">
        <f t="shared" si="14"/>
        <v>53075</v>
      </c>
      <c r="FD576" s="111">
        <f t="shared" si="11"/>
        <v>53075</v>
      </c>
      <c r="FE576" s="78">
        <f t="shared" si="12"/>
        <v>152856</v>
      </c>
      <c r="FF576" s="69">
        <f t="shared" si="13"/>
        <v>2833.7321136886312</v>
      </c>
      <c r="FG576" s="78">
        <f t="shared" si="15"/>
        <v>20618836.216531411</v>
      </c>
      <c r="FH576" s="69">
        <f>SUM(FE$518:FE576)*$FE$502</f>
        <v>2344265.2799999998</v>
      </c>
      <c r="FW576" s="116">
        <v>770</v>
      </c>
      <c r="FX576" s="120">
        <v>53075</v>
      </c>
      <c r="FY576" s="32">
        <v>40</v>
      </c>
      <c r="FZ576" s="140"/>
      <c r="GA576" s="140"/>
      <c r="GB576" s="68"/>
    </row>
    <row r="577" spans="155:184" ht="17.25" thickBot="1">
      <c r="EY577" s="123"/>
      <c r="EZ577" s="122"/>
      <c r="FA577" s="32">
        <v>60</v>
      </c>
      <c r="FB577" s="66">
        <v>770</v>
      </c>
      <c r="FC577" s="67">
        <f t="shared" si="14"/>
        <v>53075</v>
      </c>
      <c r="FD577" s="111">
        <f t="shared" si="11"/>
        <v>53075</v>
      </c>
      <c r="FE577" s="78">
        <f t="shared" si="12"/>
        <v>152856</v>
      </c>
      <c r="FF577" s="69">
        <f t="shared" si="13"/>
        <v>2833.7321136886312</v>
      </c>
      <c r="FG577" s="78">
        <f t="shared" si="15"/>
        <v>21599279.397306357</v>
      </c>
      <c r="FH577" s="69">
        <f>SUM(FE$518:FE577)*$FE$502</f>
        <v>2397764.88</v>
      </c>
      <c r="FW577" s="116">
        <v>770</v>
      </c>
      <c r="FX577" s="120">
        <v>53075</v>
      </c>
      <c r="FY577" s="32">
        <v>40</v>
      </c>
      <c r="FZ577" s="140"/>
      <c r="GA577" s="140"/>
      <c r="GB577" s="68"/>
    </row>
    <row r="578" spans="155:184" ht="17.25" thickBot="1">
      <c r="EY578" s="123"/>
      <c r="EZ578" s="122"/>
      <c r="FA578" s="32">
        <v>61</v>
      </c>
      <c r="FB578" s="66">
        <v>770</v>
      </c>
      <c r="FC578" s="67">
        <f t="shared" si="14"/>
        <v>53075</v>
      </c>
      <c r="FD578" s="111">
        <f t="shared" si="11"/>
        <v>53075</v>
      </c>
      <c r="FE578" s="78">
        <f t="shared" si="12"/>
        <v>152856</v>
      </c>
      <c r="FF578" s="69">
        <f t="shared" si="13"/>
        <v>2833.7321136886312</v>
      </c>
      <c r="FG578" s="78">
        <f t="shared" si="15"/>
        <v>22618940.305312302</v>
      </c>
      <c r="FH578" s="69">
        <f>SUM(FE$518:FE578)*$FE$502</f>
        <v>2451264.48</v>
      </c>
      <c r="FW578" s="116">
        <v>770</v>
      </c>
      <c r="FX578" s="120">
        <v>53075</v>
      </c>
      <c r="FY578" s="32">
        <v>40</v>
      </c>
      <c r="FZ578" s="140"/>
      <c r="GA578" s="140"/>
      <c r="GB578" s="68"/>
    </row>
    <row r="579" spans="155:184" ht="17.25" thickBot="1">
      <c r="EY579" s="123"/>
      <c r="EZ579" s="122"/>
      <c r="FA579" s="32">
        <v>62</v>
      </c>
      <c r="FB579" s="66">
        <v>770</v>
      </c>
      <c r="FC579" s="67">
        <f t="shared" si="14"/>
        <v>53075</v>
      </c>
      <c r="FD579" s="111">
        <f t="shared" si="11"/>
        <v>53075</v>
      </c>
      <c r="FE579" s="78">
        <f t="shared" si="12"/>
        <v>152856</v>
      </c>
      <c r="FF579" s="69">
        <f t="shared" si="13"/>
        <v>2833.7321136886312</v>
      </c>
      <c r="FG579" s="78">
        <f t="shared" si="15"/>
        <v>23679387.649638485</v>
      </c>
      <c r="FH579" s="69">
        <f>SUM(FE$518:FE579)*$FE$502</f>
        <v>2504764.0799999996</v>
      </c>
      <c r="FW579" s="116">
        <v>770</v>
      </c>
      <c r="FX579" s="120">
        <v>53075</v>
      </c>
      <c r="FY579" s="32">
        <v>40</v>
      </c>
      <c r="FZ579" s="140"/>
      <c r="GA579" s="140"/>
      <c r="GB579" s="68"/>
    </row>
    <row r="580" spans="155:184" ht="17.25" thickBot="1">
      <c r="EY580" s="123"/>
      <c r="EZ580" s="122"/>
      <c r="FA580" s="32">
        <v>63</v>
      </c>
      <c r="FB580" s="66">
        <v>770</v>
      </c>
      <c r="FC580" s="67">
        <f t="shared" si="14"/>
        <v>53075</v>
      </c>
      <c r="FD580" s="111">
        <f t="shared" si="11"/>
        <v>53075</v>
      </c>
      <c r="FE580" s="78">
        <f t="shared" si="12"/>
        <v>152856</v>
      </c>
      <c r="FF580" s="69">
        <f t="shared" si="13"/>
        <v>2833.7321136886312</v>
      </c>
      <c r="FG580" s="78">
        <f t="shared" si="15"/>
        <v>24782252.887737714</v>
      </c>
      <c r="FH580" s="69">
        <f>SUM(FE$518:FE580)*$FE$502</f>
        <v>2558263.6799999997</v>
      </c>
      <c r="FW580" s="116">
        <v>770</v>
      </c>
      <c r="FX580" s="120">
        <v>53075</v>
      </c>
      <c r="FY580" s="32">
        <v>40</v>
      </c>
      <c r="FZ580" s="140"/>
      <c r="GA580" s="140"/>
      <c r="GB580" s="68"/>
    </row>
    <row r="581" spans="155:184" ht="17.25" thickBot="1">
      <c r="EY581" s="123"/>
      <c r="EZ581" s="122"/>
      <c r="FA581" s="32">
        <v>64</v>
      </c>
      <c r="FB581" s="66">
        <v>770</v>
      </c>
      <c r="FC581" s="67">
        <f t="shared" si="14"/>
        <v>53075</v>
      </c>
      <c r="FD581" s="111">
        <f t="shared" si="11"/>
        <v>53075</v>
      </c>
      <c r="FE581" s="78">
        <f t="shared" si="12"/>
        <v>152856</v>
      </c>
      <c r="FF581" s="69">
        <f t="shared" si="13"/>
        <v>2833.7321136886312</v>
      </c>
      <c r="FG581" s="78">
        <f t="shared" si="15"/>
        <v>25929232.735360913</v>
      </c>
      <c r="FH581" s="69">
        <f>SUM(FE$518:FE581)*$FE$502</f>
        <v>2611763.2799999998</v>
      </c>
      <c r="FW581" s="116">
        <v>770</v>
      </c>
      <c r="FX581" s="120">
        <v>53075</v>
      </c>
      <c r="FY581" s="32">
        <v>40</v>
      </c>
      <c r="FZ581" s="140"/>
      <c r="GA581" s="140"/>
      <c r="GB581" s="68"/>
    </row>
    <row r="582" spans="155:184">
      <c r="EY582" s="123"/>
      <c r="EZ582" s="122"/>
      <c r="FA582" s="32">
        <v>65</v>
      </c>
      <c r="FB582" s="66">
        <v>770</v>
      </c>
      <c r="FC582" s="67">
        <f t="shared" si="14"/>
        <v>53075</v>
      </c>
      <c r="FD582" s="111">
        <f t="shared" ref="FD582:FD597" si="16">FC582*(1+$FB$508)^(FA582-1)</f>
        <v>53075</v>
      </c>
      <c r="FE582" s="78">
        <f t="shared" ref="FE582:FE597" si="17">FD582*2*$FB$507*12</f>
        <v>152856</v>
      </c>
      <c r="FF582" s="69">
        <f t="shared" ref="FF582:FF597" si="18">FV($FC$506/12,12,-FE582/12,,0)-FE582</f>
        <v>2833.7321136886312</v>
      </c>
      <c r="FG582" s="78">
        <f t="shared" si="15"/>
        <v>27122091.776889041</v>
      </c>
      <c r="FH582" s="69">
        <f>SUM(FE$518:FE582)*$FE$502</f>
        <v>2665262.88</v>
      </c>
    </row>
    <row r="583" spans="155:184">
      <c r="EY583" s="123"/>
      <c r="EZ583" s="122"/>
      <c r="FA583" s="32">
        <v>66</v>
      </c>
      <c r="FB583" s="66">
        <v>770</v>
      </c>
      <c r="FC583" s="67">
        <f t="shared" ref="FC583:FC597" si="19">IF(FB583&gt;$FB$503,FC582,VLOOKUP(FB583,salary,2))</f>
        <v>53075</v>
      </c>
      <c r="FD583" s="111">
        <f t="shared" si="16"/>
        <v>53075</v>
      </c>
      <c r="FE583" s="78">
        <f t="shared" si="17"/>
        <v>152856</v>
      </c>
      <c r="FF583" s="69">
        <f t="shared" si="18"/>
        <v>2833.7321136886312</v>
      </c>
      <c r="FG583" s="78">
        <f t="shared" ref="FG583:FG597" si="20">FG582*(1+$FC$506)+FE583+FF583</f>
        <v>28362665.180078294</v>
      </c>
      <c r="FH583" s="69">
        <f>SUM(FE$518:FE583)*$FE$502</f>
        <v>2718762.48</v>
      </c>
    </row>
    <row r="584" spans="155:184">
      <c r="EY584" s="123"/>
      <c r="EZ584" s="122"/>
      <c r="FA584" s="32">
        <v>67</v>
      </c>
      <c r="FB584" s="66">
        <v>770</v>
      </c>
      <c r="FC584" s="67">
        <f t="shared" si="19"/>
        <v>53075</v>
      </c>
      <c r="FD584" s="111">
        <f t="shared" si="16"/>
        <v>53075</v>
      </c>
      <c r="FE584" s="78">
        <f t="shared" si="17"/>
        <v>152856</v>
      </c>
      <c r="FF584" s="69">
        <f t="shared" si="18"/>
        <v>2833.7321136886312</v>
      </c>
      <c r="FG584" s="78">
        <f t="shared" si="20"/>
        <v>29652861.519395117</v>
      </c>
      <c r="FH584" s="69">
        <f>SUM(FE$518:FE584)*$FE$502</f>
        <v>2772262.0799999996</v>
      </c>
    </row>
    <row r="585" spans="155:184">
      <c r="EY585" s="123"/>
      <c r="EZ585" s="122"/>
      <c r="FA585" s="32">
        <v>68</v>
      </c>
      <c r="FB585" s="66">
        <v>770</v>
      </c>
      <c r="FC585" s="67">
        <f t="shared" si="19"/>
        <v>53075</v>
      </c>
      <c r="FD585" s="111">
        <f t="shared" si="16"/>
        <v>53075</v>
      </c>
      <c r="FE585" s="78">
        <f t="shared" si="17"/>
        <v>152856</v>
      </c>
      <c r="FF585" s="69">
        <f t="shared" si="18"/>
        <v>2833.7321136886312</v>
      </c>
      <c r="FG585" s="78">
        <f t="shared" si="20"/>
        <v>30994665.712284613</v>
      </c>
      <c r="FH585" s="69">
        <f>SUM(FE$518:FE585)*$FE$502</f>
        <v>2825761.6799999997</v>
      </c>
    </row>
    <row r="586" spans="155:184">
      <c r="EY586" s="123"/>
      <c r="EZ586" s="122"/>
      <c r="FA586" s="32">
        <v>69</v>
      </c>
      <c r="FB586" s="66">
        <v>770</v>
      </c>
      <c r="FC586" s="67">
        <f t="shared" si="19"/>
        <v>53075</v>
      </c>
      <c r="FD586" s="111">
        <f t="shared" si="16"/>
        <v>53075</v>
      </c>
      <c r="FE586" s="78">
        <f t="shared" si="17"/>
        <v>152856</v>
      </c>
      <c r="FF586" s="69">
        <f t="shared" si="18"/>
        <v>2833.7321136886312</v>
      </c>
      <c r="FG586" s="78">
        <f t="shared" si="20"/>
        <v>32390142.072889689</v>
      </c>
      <c r="FH586" s="69">
        <f>SUM(FE$518:FE586)*$FE$502</f>
        <v>2879261.28</v>
      </c>
    </row>
    <row r="587" spans="155:184">
      <c r="EY587" s="123"/>
      <c r="EZ587" s="122"/>
      <c r="FA587" s="32">
        <v>70</v>
      </c>
      <c r="FB587" s="66">
        <v>770</v>
      </c>
      <c r="FC587" s="67">
        <f t="shared" si="19"/>
        <v>53075</v>
      </c>
      <c r="FD587" s="111">
        <f t="shared" si="16"/>
        <v>53075</v>
      </c>
      <c r="FE587" s="78">
        <f t="shared" si="17"/>
        <v>152856</v>
      </c>
      <c r="FF587" s="69">
        <f t="shared" si="18"/>
        <v>2833.7321136886312</v>
      </c>
      <c r="FG587" s="78">
        <f t="shared" si="20"/>
        <v>33841437.487918966</v>
      </c>
      <c r="FH587" s="69">
        <f>SUM(FE$518:FE587)*$FE$502</f>
        <v>2932760.88</v>
      </c>
    </row>
    <row r="588" spans="155:184">
      <c r="EY588" s="123"/>
      <c r="EZ588" s="122"/>
      <c r="FA588" s="32">
        <v>71</v>
      </c>
      <c r="FB588" s="66">
        <v>770</v>
      </c>
      <c r="FC588" s="67">
        <f t="shared" si="19"/>
        <v>53075</v>
      </c>
      <c r="FD588" s="111">
        <f t="shared" si="16"/>
        <v>53075</v>
      </c>
      <c r="FE588" s="78">
        <f t="shared" si="17"/>
        <v>152856</v>
      </c>
      <c r="FF588" s="69">
        <f t="shared" si="18"/>
        <v>2833.7321136886312</v>
      </c>
      <c r="FG588" s="78">
        <f t="shared" si="20"/>
        <v>35350784.719549417</v>
      </c>
      <c r="FH588" s="69">
        <f>SUM(FE$518:FE588)*$FE$502</f>
        <v>2986260.48</v>
      </c>
    </row>
    <row r="589" spans="155:184">
      <c r="EY589" s="123"/>
      <c r="EZ589" s="122"/>
      <c r="FA589" s="32">
        <v>72</v>
      </c>
      <c r="FB589" s="66">
        <v>770</v>
      </c>
      <c r="FC589" s="67">
        <f t="shared" si="19"/>
        <v>53075</v>
      </c>
      <c r="FD589" s="111">
        <f t="shared" si="16"/>
        <v>53075</v>
      </c>
      <c r="FE589" s="78">
        <f t="shared" si="17"/>
        <v>152856</v>
      </c>
      <c r="FF589" s="69">
        <f t="shared" si="18"/>
        <v>2833.7321136886312</v>
      </c>
      <c r="FG589" s="78">
        <f t="shared" si="20"/>
        <v>36920505.840445086</v>
      </c>
      <c r="FH589" s="69">
        <f>SUM(FE$518:FE589)*$FE$502</f>
        <v>3039760.08</v>
      </c>
    </row>
    <row r="590" spans="155:184">
      <c r="EY590" s="123"/>
      <c r="EZ590" s="122"/>
      <c r="FA590" s="32">
        <v>73</v>
      </c>
      <c r="FB590" s="66">
        <v>770</v>
      </c>
      <c r="FC590" s="67">
        <f t="shared" si="19"/>
        <v>53075</v>
      </c>
      <c r="FD590" s="111">
        <f t="shared" si="16"/>
        <v>53075</v>
      </c>
      <c r="FE590" s="78">
        <f t="shared" si="17"/>
        <v>152856</v>
      </c>
      <c r="FF590" s="69">
        <f t="shared" si="18"/>
        <v>2833.7321136886312</v>
      </c>
      <c r="FG590" s="78">
        <f t="shared" si="20"/>
        <v>38553015.80617658</v>
      </c>
      <c r="FH590" s="69">
        <f>SUM(FE$518:FE590)*$FE$502</f>
        <v>3093259.68</v>
      </c>
    </row>
    <row r="591" spans="155:184">
      <c r="EY591" s="123"/>
      <c r="EZ591" s="122"/>
      <c r="FA591" s="32">
        <v>74</v>
      </c>
      <c r="FB591" s="66">
        <v>770</v>
      </c>
      <c r="FC591" s="67">
        <f t="shared" si="19"/>
        <v>53075</v>
      </c>
      <c r="FD591" s="111">
        <f t="shared" si="16"/>
        <v>53075</v>
      </c>
      <c r="FE591" s="78">
        <f t="shared" si="17"/>
        <v>152856</v>
      </c>
      <c r="FF591" s="69">
        <f t="shared" si="18"/>
        <v>2833.7321136886312</v>
      </c>
      <c r="FG591" s="78">
        <f t="shared" si="20"/>
        <v>40250826.170537338</v>
      </c>
      <c r="FH591" s="69">
        <f>SUM(FE$518:FE591)*$FE$502</f>
        <v>3146759.2800000003</v>
      </c>
    </row>
    <row r="592" spans="155:184">
      <c r="EY592" s="123"/>
      <c r="EZ592" s="122"/>
      <c r="FA592" s="32">
        <v>75</v>
      </c>
      <c r="FB592" s="66">
        <v>770</v>
      </c>
      <c r="FC592" s="67">
        <f t="shared" si="19"/>
        <v>53075</v>
      </c>
      <c r="FD592" s="111">
        <f t="shared" si="16"/>
        <v>53075</v>
      </c>
      <c r="FE592" s="78">
        <f t="shared" si="17"/>
        <v>152856</v>
      </c>
      <c r="FF592" s="69">
        <f t="shared" si="18"/>
        <v>2833.7321136886312</v>
      </c>
      <c r="FG592" s="78">
        <f t="shared" si="20"/>
        <v>42016548.949472524</v>
      </c>
      <c r="FH592" s="69">
        <f>SUM(FE$518:FE592)*$FE$502</f>
        <v>3200258.88</v>
      </c>
    </row>
    <row r="593" spans="155:164">
      <c r="EY593" s="123"/>
      <c r="EZ593" s="122"/>
      <c r="FA593" s="32">
        <v>76</v>
      </c>
      <c r="FB593" s="66">
        <v>770</v>
      </c>
      <c r="FC593" s="67">
        <f t="shared" si="19"/>
        <v>53075</v>
      </c>
      <c r="FD593" s="111">
        <f t="shared" si="16"/>
        <v>53075</v>
      </c>
      <c r="FE593" s="78">
        <f t="shared" si="17"/>
        <v>152856</v>
      </c>
      <c r="FF593" s="69">
        <f t="shared" si="18"/>
        <v>2833.7321136886312</v>
      </c>
      <c r="FG593" s="78">
        <f t="shared" si="20"/>
        <v>43852900.639565118</v>
      </c>
      <c r="FH593" s="69">
        <f>SUM(FE$518:FE593)*$FE$502</f>
        <v>3253758.48</v>
      </c>
    </row>
    <row r="594" spans="155:164">
      <c r="EY594" s="123"/>
      <c r="EZ594" s="122"/>
      <c r="FA594" s="32">
        <v>77</v>
      </c>
      <c r="FB594" s="66">
        <v>770</v>
      </c>
      <c r="FC594" s="67">
        <f t="shared" si="19"/>
        <v>53075</v>
      </c>
      <c r="FD594" s="111">
        <f t="shared" si="16"/>
        <v>53075</v>
      </c>
      <c r="FE594" s="78">
        <f t="shared" si="17"/>
        <v>152856</v>
      </c>
      <c r="FF594" s="69">
        <f t="shared" si="18"/>
        <v>2833.7321136886312</v>
      </c>
      <c r="FG594" s="78">
        <f t="shared" si="20"/>
        <v>45762706.397261411</v>
      </c>
      <c r="FH594" s="69">
        <f>SUM(FE$518:FE594)*$FE$502</f>
        <v>3307258.08</v>
      </c>
    </row>
    <row r="595" spans="155:164">
      <c r="EY595" s="123"/>
      <c r="EZ595" s="122"/>
      <c r="FA595" s="32">
        <v>78</v>
      </c>
      <c r="FB595" s="66">
        <v>770</v>
      </c>
      <c r="FC595" s="67">
        <f t="shared" si="19"/>
        <v>53075</v>
      </c>
      <c r="FD595" s="111">
        <f t="shared" si="16"/>
        <v>53075</v>
      </c>
      <c r="FE595" s="78">
        <f t="shared" si="17"/>
        <v>152856</v>
      </c>
      <c r="FF595" s="69">
        <f t="shared" si="18"/>
        <v>2833.7321136886312</v>
      </c>
      <c r="FG595" s="78">
        <f t="shared" si="20"/>
        <v>47748904.385265559</v>
      </c>
      <c r="FH595" s="69">
        <f>SUM(FE$518:FE595)*$FE$502</f>
        <v>3360757.68</v>
      </c>
    </row>
    <row r="596" spans="155:164">
      <c r="EY596" s="123"/>
      <c r="EZ596" s="122"/>
      <c r="FA596" s="32">
        <v>79</v>
      </c>
      <c r="FB596" s="66">
        <v>770</v>
      </c>
      <c r="FC596" s="67">
        <f t="shared" si="19"/>
        <v>53075</v>
      </c>
      <c r="FD596" s="111">
        <f t="shared" si="16"/>
        <v>53075</v>
      </c>
      <c r="FE596" s="78">
        <f t="shared" si="17"/>
        <v>152856</v>
      </c>
      <c r="FF596" s="69">
        <f t="shared" si="18"/>
        <v>2833.7321136886312</v>
      </c>
      <c r="FG596" s="78">
        <f t="shared" si="20"/>
        <v>49814550.292789869</v>
      </c>
      <c r="FH596" s="69">
        <f>SUM(FE$518:FE596)*$FE$502</f>
        <v>3414257.2800000003</v>
      </c>
    </row>
    <row r="597" spans="155:164">
      <c r="EY597" s="123"/>
      <c r="EZ597" s="122"/>
      <c r="FA597" s="32">
        <v>80</v>
      </c>
      <c r="FB597" s="66">
        <v>770</v>
      </c>
      <c r="FC597" s="67">
        <f t="shared" si="19"/>
        <v>53075</v>
      </c>
      <c r="FD597" s="111">
        <f t="shared" si="16"/>
        <v>53075</v>
      </c>
      <c r="FE597" s="78">
        <f t="shared" si="17"/>
        <v>152856</v>
      </c>
      <c r="FF597" s="69">
        <f t="shared" si="18"/>
        <v>2833.7321136886312</v>
      </c>
      <c r="FG597" s="78">
        <f t="shared" si="20"/>
        <v>51962822.036615156</v>
      </c>
      <c r="FH597" s="69">
        <f>SUM(FE$518:FE597)*$FE$502</f>
        <v>3467756.88</v>
      </c>
    </row>
  </sheetData>
  <mergeCells count="29">
    <mergeCell ref="EW505:EX512"/>
    <mergeCell ref="GE501:GG501"/>
    <mergeCell ref="GH501:GI501"/>
    <mergeCell ref="GG502:GH503"/>
    <mergeCell ref="GI502:GI503"/>
    <mergeCell ref="GG506:GH506"/>
    <mergeCell ref="GG507:GH507"/>
    <mergeCell ref="GG508:GH508"/>
    <mergeCell ref="GG509:GH509"/>
    <mergeCell ref="GJ502:GJ503"/>
    <mergeCell ref="GK502:GK503"/>
    <mergeCell ref="GG504:GH504"/>
    <mergeCell ref="GG505:GH505"/>
    <mergeCell ref="GG514:GH514"/>
    <mergeCell ref="GG515:GH515"/>
    <mergeCell ref="GG516:GH516"/>
    <mergeCell ref="GG517:GH517"/>
    <mergeCell ref="GG510:GH510"/>
    <mergeCell ref="GG511:GH511"/>
    <mergeCell ref="GG512:GH512"/>
    <mergeCell ref="GG513:GH513"/>
    <mergeCell ref="GG522:GH522"/>
    <mergeCell ref="GG523:GH523"/>
    <mergeCell ref="GG524:GH524"/>
    <mergeCell ref="GG525:GH525"/>
    <mergeCell ref="GG518:GH518"/>
    <mergeCell ref="GG519:GH519"/>
    <mergeCell ref="GG520:GH520"/>
    <mergeCell ref="GG521:GH52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標準內容</tns:defaultPropertyEditorNamespace>
</tns:customPropertyEditors>
</file>

<file path=customXml/itemProps1.xml><?xml version="1.0" encoding="utf-8"?>
<ds:datastoreItem xmlns:ds="http://schemas.openxmlformats.org/officeDocument/2006/customXml" ds:itemID="{8F1ED8AF-D376-418F-A785-8F2D58188166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8</vt:i4>
      </vt:variant>
    </vt:vector>
  </HeadingPairs>
  <TitlesOfParts>
    <vt:vector size="10" baseType="lpstr">
      <vt:lpstr>Sheet1</vt:lpstr>
      <vt:lpstr>sheet2</vt:lpstr>
      <vt:lpstr>DC</vt:lpstr>
      <vt:lpstr>grade</vt:lpstr>
      <vt:lpstr>labor</vt:lpstr>
      <vt:lpstr>new_service</vt:lpstr>
      <vt:lpstr>old_ins</vt:lpstr>
      <vt:lpstr>old_service</vt:lpstr>
      <vt:lpstr>Sheet1!Print_Area</vt:lpstr>
      <vt:lpstr>salary</vt:lpstr>
    </vt:vector>
  </TitlesOfParts>
  <Company>moe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moejsmpc</dc:creator>
  <cp:lastModifiedBy>Windows 使用者</cp:lastModifiedBy>
  <cp:lastPrinted>2016-03-02T03:54:01Z</cp:lastPrinted>
  <dcterms:created xsi:type="dcterms:W3CDTF">2006-05-26T07:39:29Z</dcterms:created>
  <dcterms:modified xsi:type="dcterms:W3CDTF">2018-08-22T02:50:22Z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c94a0e3b-3c02-4e9b-b038-2370ec5d3bbf</vt:lpwstr>
  </property>
</Properties>
</file>